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1655" tabRatio="819" firstSheet="10" activeTab="21"/>
  </bookViews>
  <sheets>
    <sheet name="Overall Summary (PERT)" sheetId="1" r:id="rId1"/>
    <sheet name="Summary Best" sheetId="2" r:id="rId2"/>
    <sheet name="Summary Most Likely" sheetId="3" r:id="rId3"/>
    <sheet name="Summary Worst" sheetId="4" r:id="rId4"/>
    <sheet name="FY 0 Best" sheetId="5" r:id="rId5"/>
    <sheet name="FY 1 Best" sheetId="6" r:id="rId6"/>
    <sheet name="FY 2 Best" sheetId="7" r:id="rId7"/>
    <sheet name="FY 3 Best" sheetId="8" r:id="rId8"/>
    <sheet name="FY 4 Best" sheetId="9" r:id="rId9"/>
    <sheet name="FY 5 Best" sheetId="10" r:id="rId10"/>
    <sheet name="FY 0 Most Likely" sheetId="11" r:id="rId11"/>
    <sheet name="FY 1 Most Likely" sheetId="12" r:id="rId12"/>
    <sheet name="FY 2 Most Likely" sheetId="13" r:id="rId13"/>
    <sheet name="FY 3 Most Likely" sheetId="14" r:id="rId14"/>
    <sheet name="FY 4 Most Likely" sheetId="15" r:id="rId15"/>
    <sheet name="FY 5 Most Likely" sheetId="16" r:id="rId16"/>
    <sheet name="FY 0 Worst" sheetId="17" r:id="rId17"/>
    <sheet name="FY 1 Worst" sheetId="18" r:id="rId18"/>
    <sheet name="FY 2 Worst" sheetId="19" r:id="rId19"/>
    <sheet name="FY 3 Worst" sheetId="20" r:id="rId20"/>
    <sheet name="FY 4 Worst" sheetId="21" r:id="rId21"/>
    <sheet name="FY 5 Worst" sheetId="22" r:id="rId22"/>
    <sheet name="Factory Startup G&amp;A" sheetId="23" state="hidden" r:id="rId23"/>
    <sheet name="Calcs" sheetId="24" state="hidden" r:id="rId24"/>
    <sheet name="Cost Per Batch" sheetId="25" state="hidden" r:id="rId25"/>
  </sheets>
  <definedNames>
    <definedName name="_xlfn.GAMMA.DIST" hidden="1">#NAME?</definedName>
    <definedName name="Bottled_Water_System_Chart_" localSheetId="23">'Calcs'!$K$1</definedName>
    <definedName name="_xlnm.Print_Area" localSheetId="10">'FY 0 Most Likely'!$A$1:$N$34</definedName>
    <definedName name="Projection">#REF!</definedName>
  </definedNames>
  <calcPr fullCalcOnLoad="1"/>
</workbook>
</file>

<file path=xl/comments24.xml><?xml version="1.0" encoding="utf-8"?>
<comments xmlns="http://schemas.openxmlformats.org/spreadsheetml/2006/main">
  <authors>
    <author>William H. Volpe III, PMP</author>
  </authors>
  <commentList>
    <comment ref="E14" authorId="0">
      <text>
        <r>
          <rPr>
            <b/>
            <sz val="8"/>
            <rFont val="Tahoma"/>
            <family val="2"/>
          </rPr>
          <t>William H. Volpe III, PMP:</t>
        </r>
        <r>
          <rPr>
            <sz val="8"/>
            <rFont val="Tahoma"/>
            <family val="2"/>
          </rPr>
          <t xml:space="preserve">
Pricing 1 L to compete with Grey Goose 750ml</t>
        </r>
      </text>
    </comment>
  </commentList>
</comments>
</file>

<file path=xl/sharedStrings.xml><?xml version="1.0" encoding="utf-8"?>
<sst xmlns="http://schemas.openxmlformats.org/spreadsheetml/2006/main" count="1005" uniqueCount="217">
  <si>
    <t>Mash</t>
  </si>
  <si>
    <t>Tax</t>
  </si>
  <si>
    <t>Activity</t>
  </si>
  <si>
    <t>Time</t>
  </si>
  <si>
    <t>Distill</t>
  </si>
  <si>
    <t>End Product</t>
  </si>
  <si>
    <t>Equipment</t>
  </si>
  <si>
    <t>Permiting</t>
  </si>
  <si>
    <t>Fed Surity bond</t>
  </si>
  <si>
    <t>Amount</t>
  </si>
  <si>
    <t>Extended Amount</t>
  </si>
  <si>
    <t>Turbo 48</t>
  </si>
  <si>
    <t>Quantity</t>
  </si>
  <si>
    <t>Carbon &amp; Filters</t>
  </si>
  <si>
    <t>Total</t>
  </si>
  <si>
    <t>Cost</t>
  </si>
  <si>
    <t>Distilled Water (Gal.)</t>
  </si>
  <si>
    <t>Essences (Bottle)</t>
  </si>
  <si>
    <t>Sparkolloid Clearing Agent (oz.)</t>
  </si>
  <si>
    <t>Sugar (Pound)</t>
  </si>
  <si>
    <t>Mash (Gal)</t>
  </si>
  <si>
    <t>Cut (Gal)</t>
  </si>
  <si>
    <t>Makes 7 Gallons of Mash</t>
  </si>
  <si>
    <t>Power</t>
  </si>
  <si>
    <t>kwh cost</t>
  </si>
  <si>
    <t>Time (Hrs)</t>
  </si>
  <si>
    <t>Cost / Bottle</t>
  </si>
  <si>
    <t>Quart / Liter Conversion</t>
  </si>
  <si>
    <t>Cost/Batch</t>
  </si>
  <si>
    <t>Box / 12</t>
  </si>
  <si>
    <t>Box</t>
  </si>
  <si>
    <t xml:space="preserve">GP$ </t>
  </si>
  <si>
    <t>End Customer</t>
  </si>
  <si>
    <t>Sale Per Bottle</t>
  </si>
  <si>
    <t>Per Case</t>
  </si>
  <si>
    <t>Margin</t>
  </si>
  <si>
    <t>Target</t>
  </si>
  <si>
    <t>Label &amp; Cap</t>
  </si>
  <si>
    <t>300 Gallon Still</t>
  </si>
  <si>
    <t>Facility Rebuild</t>
  </si>
  <si>
    <t>Employee 1</t>
  </si>
  <si>
    <t>Employee 2</t>
  </si>
  <si>
    <t>Employee 3</t>
  </si>
  <si>
    <t>Maintenance Budget</t>
  </si>
  <si>
    <t>Grain Silo</t>
  </si>
  <si>
    <t>Electricity</t>
  </si>
  <si>
    <t>Water / Gas</t>
  </si>
  <si>
    <t>Building</t>
  </si>
  <si>
    <t>Commute/Office Expense</t>
  </si>
  <si>
    <t>Lodging</t>
  </si>
  <si>
    <t>Lodging Expense</t>
  </si>
  <si>
    <t>Marketing and Sales Exec</t>
  </si>
  <si>
    <t>Marketing/Commissions</t>
  </si>
  <si>
    <t>Per Month</t>
  </si>
  <si>
    <t>Sale</t>
  </si>
  <si>
    <t>Income</t>
  </si>
  <si>
    <t>COGS</t>
  </si>
  <si>
    <t>Month</t>
  </si>
  <si>
    <t>Marketing and Sales Exec 2</t>
  </si>
  <si>
    <t>Marketing and Sales Exec 1</t>
  </si>
  <si>
    <t>Employee 4</t>
  </si>
  <si>
    <t>Supplies / Tools</t>
  </si>
  <si>
    <t>Supplies/Tools</t>
  </si>
  <si>
    <t>Still Size</t>
  </si>
  <si>
    <t>Cases / Run</t>
  </si>
  <si>
    <t>Production Supervisor</t>
  </si>
  <si>
    <t>Master Distiller</t>
  </si>
  <si>
    <t>General Manager</t>
  </si>
  <si>
    <t>Fiscal Year</t>
  </si>
  <si>
    <t>FY 1</t>
  </si>
  <si>
    <t>%</t>
  </si>
  <si>
    <t>Variance</t>
  </si>
  <si>
    <t>Std. Deviation</t>
  </si>
  <si>
    <t>FY 2</t>
  </si>
  <si>
    <t>FY 3</t>
  </si>
  <si>
    <t>FY 0</t>
  </si>
  <si>
    <t>FY 4</t>
  </si>
  <si>
    <t>FY 5</t>
  </si>
  <si>
    <t>Best Case</t>
  </si>
  <si>
    <t>Most Likely Case</t>
  </si>
  <si>
    <t>Worst Case</t>
  </si>
  <si>
    <t>Weighted Mean</t>
  </si>
  <si>
    <t>Low Side ROI</t>
  </si>
  <si>
    <t>High Side ROI</t>
  </si>
  <si>
    <t>Water Cost - Cedar</t>
  </si>
  <si>
    <t>Bottle Cost</t>
  </si>
  <si>
    <t>Water</t>
  </si>
  <si>
    <t>Cost/Bottle</t>
  </si>
  <si>
    <t>Quart/Liter</t>
  </si>
  <si>
    <t>Wholesaler Cost</t>
  </si>
  <si>
    <t>Retail Cost</t>
  </si>
  <si>
    <t>Raw Cost / Liter</t>
  </si>
  <si>
    <t>Total Cost/Liter</t>
  </si>
  <si>
    <t>TX Distillers</t>
  </si>
  <si>
    <t>EBITA</t>
  </si>
  <si>
    <t>Sales Incentives</t>
  </si>
  <si>
    <t>Marketing / Spiffs</t>
  </si>
  <si>
    <t>2nd Shift Supervisor</t>
  </si>
  <si>
    <t>Loss / Run</t>
  </si>
  <si>
    <t>Cut/Run (Liters)</t>
  </si>
  <si>
    <t xml:space="preserve">Dual stills / Month </t>
  </si>
  <si>
    <t>Cases / Month / 2 stills</t>
  </si>
  <si>
    <t>Stills</t>
  </si>
  <si>
    <t>Collection Tank</t>
  </si>
  <si>
    <t>Mixing Point</t>
  </si>
  <si>
    <t>2 stage filtration</t>
  </si>
  <si>
    <t>3 stage filtration</t>
  </si>
  <si>
    <t>capping</t>
  </si>
  <si>
    <t xml:space="preserve">Labeling </t>
  </si>
  <si>
    <t>Packaging</t>
  </si>
  <si>
    <t>Track</t>
  </si>
  <si>
    <t>Bottling/Filling</t>
  </si>
  <si>
    <t>Bottling cleaners</t>
  </si>
  <si>
    <t>Bottled Water System Chart</t>
  </si>
  <si>
    <t>Line Model</t>
  </si>
  <si>
    <t>System Description</t>
  </si>
  <si>
    <t>Hourly Output</t>
  </si>
  <si>
    <t>Staff Needed</t>
  </si>
  <si>
    <t>Approx Cost</t>
  </si>
  <si>
    <t>BWL600BF</t>
  </si>
  <si>
    <t>Benchtop Manual filling machine</t>
  </si>
  <si>
    <t>BWL600BF-MC</t>
  </si>
  <si>
    <t>Benchtop Manual filling machine - hand capper</t>
  </si>
  <si>
    <t>BWL600BF-MC-SL</t>
  </si>
  <si>
    <t>Benchtop Manual filling machine - hand capper - semi-automatic labeler</t>
  </si>
  <si>
    <t>BWL1200MF-MC-SL</t>
  </si>
  <si>
    <t>Semi-Manual filling machine - hand capper- semi-automatic labeler</t>
  </si>
  <si>
    <t>600 to</t>
  </si>
  <si>
    <t>1200*</t>
  </si>
  <si>
    <t>BWL1000BF</t>
  </si>
  <si>
    <t>2HD Benchtop Manual filling machine</t>
  </si>
  <si>
    <t>BWL1000BF-MC</t>
  </si>
  <si>
    <t>2HD Benchtop Manual filling machine- hand capper</t>
  </si>
  <si>
    <t>BWL1000BF-MC-SL</t>
  </si>
  <si>
    <t>2HD Benchtop Manual filling machine- hand capper- semi automatic labeler</t>
  </si>
  <si>
    <t>BWL1200SF-MC-SL</t>
  </si>
  <si>
    <t>Semi-automatic filling machine - hand capper- semi-automatic labeler</t>
  </si>
  <si>
    <t>BWL1200SF-VAR-MC-SL</t>
  </si>
  <si>
    <t>Semi-automatic filling machine - vacuum air rinse - hand capper- semi-automatic labeler</t>
  </si>
  <si>
    <t>BWL1200AF-MC-SL</t>
  </si>
  <si>
    <t>Automatic filling machine - hand capper- semi-automatic label</t>
  </si>
  <si>
    <t>BWL1200AF-VAR-MC-SL</t>
  </si>
  <si>
    <t>Automatic filling machine - vacuum air rinse - hand capper- semi-automatic label</t>
  </si>
  <si>
    <t>BWL1800MF-MC2-SL2</t>
  </si>
  <si>
    <t>Manual filling machine - hand capper- (two stations) - semi-automatic label (two stations)</t>
  </si>
  <si>
    <t>BWL1800SF-MC2-SL2</t>
  </si>
  <si>
    <t>Semi-automatic filling machine - manual cap (two stations) - semi-automatic label (two stations)</t>
  </si>
  <si>
    <t>BWL1800SF-VAR-MC2-SL2</t>
  </si>
  <si>
    <t>Semi-automatic filling machine - vacuum air rinse - manual cap (two stations) - semi-automatic label (two stations)</t>
  </si>
  <si>
    <t>BWL1800AF-MC2-SL2</t>
  </si>
  <si>
    <t>Automatic filling machine - manual cap (two stations) - semi-automatic label (two stations)</t>
  </si>
  <si>
    <t>BWL1800AF-VAR-MC2-SL2</t>
  </si>
  <si>
    <t>Automatic filling machine - vacuum air rinse - manual cap (two stations), semi-automatic label (two stations)</t>
  </si>
  <si>
    <t>BWL1800AF-VAR-MC2-AL</t>
  </si>
  <si>
    <t>Automatic filling machine - manual cap (two stations) - automatic label</t>
  </si>
  <si>
    <t>BWL1800AF-MC2-AL</t>
  </si>
  <si>
    <t>BWL2000AF-SC-AL</t>
  </si>
  <si>
    <t>Automatic filling machine - semi-automatic cap - automatic label</t>
  </si>
  <si>
    <t>BWL2000AF-VAR-SC-AL</t>
  </si>
  <si>
    <t>Automatic filling machine - automatic vacuum air rinse - semi-automatic cap - automatic label</t>
  </si>
  <si>
    <t>BWL2000AF-AC-AL</t>
  </si>
  <si>
    <t>Automatic filling machine - automatic cap - automatic label</t>
  </si>
  <si>
    <t>BWL2000AF-VAR-AC-AL</t>
  </si>
  <si>
    <t>Automatic filling machine - automatic vacuum air rinse - automatic cap - automatic label</t>
  </si>
  <si>
    <t>BWL3000AF-AC-AL</t>
  </si>
  <si>
    <t>BWL3000AF-VAR-AC-AL</t>
  </si>
  <si>
    <t>BWL3600AF-AC-AL</t>
  </si>
  <si>
    <t>BWL3600AF-VAR-AC-AL</t>
  </si>
  <si>
    <t>BWL4300AF-AC-AL</t>
  </si>
  <si>
    <t>BWL4300AF-VAR-AC-AL</t>
  </si>
  <si>
    <t>BWL5200AF-AC-AL</t>
  </si>
  <si>
    <t>BWL5200AF-VAR-AC-AL</t>
  </si>
  <si>
    <t>BWL6000AF-AC-AL</t>
  </si>
  <si>
    <t>BWL6000AF-VAR-AC-AL</t>
  </si>
  <si>
    <t>http://www.filtrationsystems.com/brochures/eng_8_Bulletin%20B1.pdf</t>
  </si>
  <si>
    <t>http://www.filtrationsystems.com/filterselectionws.htm</t>
  </si>
  <si>
    <t>Cell Phones</t>
  </si>
  <si>
    <t>Legal</t>
  </si>
  <si>
    <t>CPA</t>
  </si>
  <si>
    <t>Office Ops Staff</t>
  </si>
  <si>
    <t>Miscellaneous Office</t>
  </si>
  <si>
    <t>Pest control</t>
  </si>
  <si>
    <t>Janitorial/Cleaning (Office)</t>
  </si>
  <si>
    <t>Office Equipment Startup</t>
  </si>
  <si>
    <t>Phone/cable/internet</t>
  </si>
  <si>
    <t>Unit Cost</t>
  </si>
  <si>
    <t>Extended Cost</t>
  </si>
  <si>
    <t>Loss (20%)</t>
  </si>
  <si>
    <t>Mfg. Line Capital Equipment</t>
  </si>
  <si>
    <t>Shift 1</t>
  </si>
  <si>
    <t>Shift 2</t>
  </si>
  <si>
    <t>Shift 3</t>
  </si>
  <si>
    <t>Shift 4</t>
  </si>
  <si>
    <t>Night Shift Supervisor(s)</t>
  </si>
  <si>
    <t>Day Shift Supervisor(s)</t>
  </si>
  <si>
    <t>Board Compensation</t>
  </si>
  <si>
    <t>Site Improvements</t>
  </si>
  <si>
    <t>6 Yr. Totals</t>
  </si>
  <si>
    <t>V.P. Marketing and Sales</t>
  </si>
  <si>
    <t>Pemitting / Licensing</t>
  </si>
  <si>
    <t>6 Year Totals</t>
  </si>
  <si>
    <t>Sale Per Product</t>
  </si>
  <si>
    <t>Sale Per Product Bundle</t>
  </si>
  <si>
    <t>Production Lines ( if applicable)</t>
  </si>
  <si>
    <t>Product Volume</t>
  </si>
  <si>
    <t>Additional Capital Equipment</t>
  </si>
  <si>
    <t>Engineer, etc.</t>
  </si>
  <si>
    <t>All financial assumptions were.......  (provide background on how the calculations were made).</t>
  </si>
  <si>
    <t>Copyright The Volpe Consortium, Inc.     contact@thevolpeconsortium.com</t>
  </si>
  <si>
    <t xml:space="preserve">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</si>
  <si>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</si>
  <si>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</si>
  <si>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</si>
  <si>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</si>
  <si>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 xml:space="preserve">The overall summary page uses PERT (Program Evaluation and Review Technique) to determine beta distribution bell curve numbers for return on investment over all three cases (Best Case, Most Likely, and Worst Case) over all six years.  Since the 1960's, PERT is a method that has been proven to have little effect on technology delivery, but great positive effect on schedule and cost overruns.
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</si>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</sst>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00000000_);_(&quot;$&quot;* \(#,##0.00000000\);_(&quot;$&quot;* &quot;-&quot;????????_);_(@_)"/>
    <numFmt numFmtId="170" formatCode="_(* #,##0_);_(* \(#,##0\);_(* &quot;-&quot;??_);_(@_)"/>
    <numFmt numFmtId="171" formatCode="_(* #,##0.000_);_(* \(#,##0.000\);_(* &quot;-&quot;???_);_(@_)"/>
    <numFmt numFmtId="172" formatCode="#,##0.000_);[Red]\(#,##0.000\)"/>
    <numFmt numFmtId="173" formatCode="#,##0.0000000000_);[Red]\(#,##0.0000000000\)"/>
    <numFmt numFmtId="174" formatCode="0.00_);[Red]\(0.00\)"/>
  </numFmts>
  <fonts count="54">
    <font>
      <sz val="11"/>
      <color theme="1"/>
      <name val="Calibri"/>
      <family val="2"/>
    </font>
    <font>
      <sz val="11"/>
      <color indexed="8"/>
      <name val="Calibri"/>
      <family val="2"/>
    </font>
    <font>
      <sz val="10"/>
      <name val="Arial"/>
      <family val="2"/>
    </font>
    <font>
      <sz val="8"/>
      <name val="Tahoma"/>
      <family val="2"/>
    </font>
    <font>
      <b/>
      <sz val="8"/>
      <name val="Tahoma"/>
      <family val="2"/>
    </font>
    <font>
      <sz val="8"/>
      <name val="Arial"/>
      <family val="2"/>
    </font>
    <font>
      <b/>
      <sz val="11"/>
      <color indexed="8"/>
      <name val="Calibri"/>
      <family val="2"/>
    </font>
    <font>
      <sz val="11"/>
      <color indexed="10"/>
      <name val="Calibri"/>
      <family val="2"/>
    </font>
    <font>
      <sz val="11"/>
      <name val="Calibri"/>
      <family val="2"/>
    </font>
    <font>
      <u val="single"/>
      <sz val="11"/>
      <color indexed="8"/>
      <name val="Calibri"/>
      <family val="2"/>
    </font>
    <font>
      <b/>
      <u val="single"/>
      <sz val="11"/>
      <color indexed="8"/>
      <name val="Calibri"/>
      <family val="2"/>
    </font>
    <font>
      <i/>
      <sz val="11"/>
      <color indexed="10"/>
      <name val="Calibri"/>
      <family val="2"/>
    </font>
    <font>
      <b/>
      <sz val="10"/>
      <color indexed="20"/>
      <name val="Trebuchet MS"/>
      <family val="2"/>
    </font>
    <font>
      <sz val="10"/>
      <color indexed="8"/>
      <name val="Trebuchet MS"/>
      <family val="2"/>
    </font>
    <font>
      <i/>
      <sz val="11"/>
      <name val="Calibri"/>
      <family val="2"/>
    </font>
    <font>
      <b/>
      <sz val="14"/>
      <color indexed="8"/>
      <name val="Calibri"/>
      <family val="2"/>
    </font>
    <font>
      <sz val="14"/>
      <color indexed="8"/>
      <name val="Calibri"/>
      <family val="2"/>
    </font>
    <font>
      <b/>
      <sz val="18"/>
      <color indexed="20"/>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thin"/>
      <bottom style="mediu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thin"/>
    </border>
    <border>
      <left style="thin"/>
      <right style="medium"/>
      <top>
        <color indexed="63"/>
      </top>
      <bottom style="thin"/>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medium"/>
      <top style="medium"/>
      <bottom style="medium"/>
    </border>
    <border>
      <left>
        <color indexed="63"/>
      </left>
      <right style="medium"/>
      <top style="medium"/>
      <bottom style="thin"/>
    </border>
    <border>
      <left style="thin"/>
      <right>
        <color indexed="63"/>
      </right>
      <top style="medium"/>
      <bottom style="medium"/>
    </border>
    <border>
      <left style="medium"/>
      <right style="thin"/>
      <top style="thin"/>
      <bottom>
        <color indexed="63"/>
      </bottom>
    </border>
    <border>
      <left style="medium"/>
      <right style="thin"/>
      <top style="medium"/>
      <bottom style="mediu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5" fillId="0" borderId="0">
      <alignment/>
      <protection/>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6">
    <xf numFmtId="0" fontId="0" fillId="0" borderId="0" xfId="0" applyFont="1" applyAlignment="1">
      <alignment/>
    </xf>
    <xf numFmtId="44" fontId="1" fillId="0" borderId="0" xfId="46" applyFont="1" applyAlignment="1">
      <alignment/>
    </xf>
    <xf numFmtId="44" fontId="0" fillId="0" borderId="0" xfId="0" applyNumberFormat="1" applyAlignment="1">
      <alignment/>
    </xf>
    <xf numFmtId="0" fontId="0" fillId="0" borderId="0" xfId="0" applyAlignment="1">
      <alignment horizontal="right"/>
    </xf>
    <xf numFmtId="44" fontId="1" fillId="33" borderId="0" xfId="46" applyFont="1" applyFill="1" applyAlignment="1">
      <alignment/>
    </xf>
    <xf numFmtId="0" fontId="0" fillId="0" borderId="10" xfId="0" applyBorder="1" applyAlignment="1">
      <alignment/>
    </xf>
    <xf numFmtId="0" fontId="6" fillId="0" borderId="10" xfId="0" applyFont="1" applyBorder="1" applyAlignment="1">
      <alignment horizontal="center" vertical="center"/>
    </xf>
    <xf numFmtId="164" fontId="0" fillId="0" borderId="10" xfId="0" applyNumberFormat="1" applyBorder="1" applyAlignment="1">
      <alignment/>
    </xf>
    <xf numFmtId="164" fontId="0" fillId="0" borderId="10" xfId="0" applyNumberFormat="1" applyBorder="1" applyAlignment="1">
      <alignment horizontal="right"/>
    </xf>
    <xf numFmtId="0" fontId="0" fillId="0" borderId="10" xfId="0" applyBorder="1" applyAlignment="1">
      <alignment horizontal="center"/>
    </xf>
    <xf numFmtId="0" fontId="8" fillId="0" borderId="10" xfId="0" applyFont="1" applyBorder="1" applyAlignment="1">
      <alignment/>
    </xf>
    <xf numFmtId="164" fontId="8" fillId="0" borderId="10" xfId="0" applyNumberFormat="1" applyFont="1" applyBorder="1" applyAlignment="1">
      <alignment/>
    </xf>
    <xf numFmtId="0" fontId="8" fillId="0" borderId="10" xfId="0" applyFont="1" applyBorder="1" applyAlignment="1">
      <alignment horizontal="center"/>
    </xf>
    <xf numFmtId="164" fontId="8" fillId="0" borderId="10" xfId="0" applyNumberFormat="1" applyFont="1" applyBorder="1" applyAlignment="1">
      <alignment horizontal="right"/>
    </xf>
    <xf numFmtId="0" fontId="6" fillId="0" borderId="10" xfId="0" applyFont="1" applyBorder="1" applyAlignment="1">
      <alignment horizontal="center"/>
    </xf>
    <xf numFmtId="0" fontId="6" fillId="0" borderId="11" xfId="0" applyFont="1" applyFill="1" applyBorder="1" applyAlignment="1">
      <alignment horizontal="center"/>
    </xf>
    <xf numFmtId="164" fontId="6" fillId="0" borderId="10" xfId="0" applyNumberFormat="1" applyFont="1" applyBorder="1" applyAlignment="1">
      <alignment horizontal="right"/>
    </xf>
    <xf numFmtId="164" fontId="0" fillId="0" borderId="0" xfId="0" applyNumberFormat="1" applyAlignment="1">
      <alignment/>
    </xf>
    <xf numFmtId="0" fontId="0" fillId="0" borderId="0" xfId="0" applyAlignment="1">
      <alignment/>
    </xf>
    <xf numFmtId="9" fontId="1" fillId="0" borderId="0" xfId="63" applyFont="1" applyAlignment="1">
      <alignment/>
    </xf>
    <xf numFmtId="0" fontId="6" fillId="0" borderId="12" xfId="0" applyFont="1" applyFill="1" applyBorder="1" applyAlignment="1">
      <alignment horizontal="center"/>
    </xf>
    <xf numFmtId="44" fontId="1" fillId="0" borderId="10" xfId="46" applyFont="1" applyBorder="1" applyAlignment="1">
      <alignment/>
    </xf>
    <xf numFmtId="44" fontId="6" fillId="0" borderId="13" xfId="46" applyFont="1" applyBorder="1" applyAlignment="1">
      <alignment/>
    </xf>
    <xf numFmtId="44" fontId="6" fillId="0" borderId="14" xfId="46" applyFont="1" applyBorder="1" applyAlignment="1">
      <alignment/>
    </xf>
    <xf numFmtId="43" fontId="0" fillId="0" borderId="0" xfId="0" applyNumberForma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3" fontId="1" fillId="0" borderId="0" xfId="42" applyFont="1" applyAlignment="1">
      <alignment/>
    </xf>
    <xf numFmtId="44" fontId="0" fillId="0" borderId="10" xfId="0" applyNumberFormat="1" applyBorder="1" applyAlignment="1">
      <alignment/>
    </xf>
    <xf numFmtId="44" fontId="0" fillId="0" borderId="16" xfId="0" applyNumberFormat="1" applyBorder="1" applyAlignment="1">
      <alignment/>
    </xf>
    <xf numFmtId="44" fontId="0" fillId="0" borderId="19" xfId="0" applyNumberFormat="1" applyBorder="1" applyAlignment="1">
      <alignment/>
    </xf>
    <xf numFmtId="44" fontId="6" fillId="0" borderId="13" xfId="0" applyNumberFormat="1" applyFont="1" applyBorder="1" applyAlignment="1">
      <alignment/>
    </xf>
    <xf numFmtId="44" fontId="1" fillId="0" borderId="20" xfId="46" applyFont="1" applyBorder="1" applyAlignment="1">
      <alignment/>
    </xf>
    <xf numFmtId="44" fontId="0" fillId="34" borderId="10" xfId="0" applyNumberFormat="1" applyFill="1" applyBorder="1" applyAlignment="1">
      <alignment/>
    </xf>
    <xf numFmtId="44" fontId="0" fillId="34" borderId="16" xfId="0" applyNumberFormat="1" applyFill="1" applyBorder="1" applyAlignment="1">
      <alignment/>
    </xf>
    <xf numFmtId="44"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44" fontId="0" fillId="0" borderId="18" xfId="0" applyNumberFormat="1" applyBorder="1" applyAlignment="1">
      <alignment/>
    </xf>
    <xf numFmtId="0" fontId="0" fillId="0" borderId="23" xfId="0" applyBorder="1" applyAlignment="1">
      <alignment/>
    </xf>
    <xf numFmtId="0" fontId="9" fillId="0" borderId="10" xfId="0" applyFont="1" applyBorder="1" applyAlignment="1">
      <alignment horizontal="center"/>
    </xf>
    <xf numFmtId="9" fontId="0" fillId="0" borderId="10" xfId="0" applyNumberFormat="1" applyBorder="1" applyAlignment="1">
      <alignment/>
    </xf>
    <xf numFmtId="4" fontId="0" fillId="0" borderId="10" xfId="0" applyNumberFormat="1" applyBorder="1" applyAlignment="1">
      <alignment/>
    </xf>
    <xf numFmtId="4" fontId="0" fillId="0" borderId="10" xfId="0" applyNumberFormat="1" applyBorder="1" applyAlignment="1">
      <alignment/>
    </xf>
    <xf numFmtId="164" fontId="0" fillId="0" borderId="10" xfId="0" applyNumberFormat="1" applyBorder="1" applyAlignment="1">
      <alignment/>
    </xf>
    <xf numFmtId="0" fontId="0" fillId="0" borderId="0" xfId="0" applyAlignment="1">
      <alignment horizontal="center"/>
    </xf>
    <xf numFmtId="4" fontId="0" fillId="0" borderId="10" xfId="0" applyNumberFormat="1" applyBorder="1" applyAlignment="1" quotePrefix="1">
      <alignment/>
    </xf>
    <xf numFmtId="9" fontId="10" fillId="0" borderId="10" xfId="0" applyNumberFormat="1" applyFont="1" applyBorder="1" applyAlignment="1">
      <alignment horizontal="center"/>
    </xf>
    <xf numFmtId="4" fontId="10" fillId="0" borderId="10" xfId="0" applyNumberFormat="1" applyFont="1" applyBorder="1" applyAlignment="1">
      <alignment horizontal="center"/>
    </xf>
    <xf numFmtId="0" fontId="10" fillId="0" borderId="10" xfId="0" applyFont="1" applyFill="1" applyBorder="1" applyAlignment="1">
      <alignment horizontal="center"/>
    </xf>
    <xf numFmtId="4" fontId="8" fillId="0" borderId="10" xfId="0" applyNumberFormat="1" applyFont="1" applyBorder="1" applyAlignment="1">
      <alignment/>
    </xf>
    <xf numFmtId="4" fontId="8" fillId="0" borderId="10" xfId="0" applyNumberFormat="1" applyFont="1" applyBorder="1" applyAlignment="1">
      <alignment/>
    </xf>
    <xf numFmtId="4" fontId="7" fillId="0" borderId="10" xfId="0" applyNumberFormat="1" applyFont="1" applyBorder="1" applyAlignment="1">
      <alignment/>
    </xf>
    <xf numFmtId="0" fontId="7" fillId="0" borderId="10" xfId="0" applyFont="1" applyBorder="1" applyAlignment="1">
      <alignment/>
    </xf>
    <xf numFmtId="0" fontId="0" fillId="0" borderId="24" xfId="0" applyBorder="1" applyAlignment="1">
      <alignment/>
    </xf>
    <xf numFmtId="44" fontId="1" fillId="0" borderId="16" xfId="46" applyFont="1" applyBorder="1" applyAlignment="1">
      <alignment/>
    </xf>
    <xf numFmtId="0" fontId="6" fillId="0" borderId="24" xfId="0" applyFont="1" applyBorder="1" applyAlignment="1">
      <alignment horizontal="center"/>
    </xf>
    <xf numFmtId="0" fontId="6" fillId="0" borderId="17" xfId="0" applyFont="1" applyBorder="1" applyAlignment="1">
      <alignment horizontal="center"/>
    </xf>
    <xf numFmtId="43" fontId="1" fillId="0" borderId="16" xfId="42" applyFont="1" applyBorder="1" applyAlignment="1">
      <alignment/>
    </xf>
    <xf numFmtId="43" fontId="1" fillId="0" borderId="18" xfId="42" applyFont="1" applyBorder="1" applyAlignment="1">
      <alignment/>
    </xf>
    <xf numFmtId="0" fontId="6" fillId="0" borderId="24" xfId="0" applyFont="1" applyBorder="1" applyAlignment="1">
      <alignment/>
    </xf>
    <xf numFmtId="43" fontId="6" fillId="0" borderId="17" xfId="42" applyFont="1" applyBorder="1" applyAlignment="1">
      <alignment horizontal="center"/>
    </xf>
    <xf numFmtId="164" fontId="11" fillId="0" borderId="0" xfId="0" applyNumberFormat="1" applyFont="1" applyAlignment="1">
      <alignment/>
    </xf>
    <xf numFmtId="44" fontId="1" fillId="0" borderId="16" xfId="46" applyNumberFormat="1" applyFont="1" applyBorder="1" applyAlignment="1">
      <alignment/>
    </xf>
    <xf numFmtId="43" fontId="0" fillId="0" borderId="18" xfId="0" applyNumberFormat="1" applyBorder="1" applyAlignment="1">
      <alignment/>
    </xf>
    <xf numFmtId="44" fontId="6" fillId="0" borderId="17" xfId="46" applyFont="1" applyBorder="1" applyAlignment="1">
      <alignment/>
    </xf>
    <xf numFmtId="0" fontId="6" fillId="0" borderId="23" xfId="0" applyFont="1" applyBorder="1" applyAlignment="1">
      <alignment horizontal="center"/>
    </xf>
    <xf numFmtId="0" fontId="6" fillId="0" borderId="25" xfId="0" applyFont="1"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6" fillId="0" borderId="21" xfId="0" applyFont="1" applyBorder="1" applyAlignment="1">
      <alignment/>
    </xf>
    <xf numFmtId="0" fontId="6" fillId="0" borderId="10" xfId="0" applyFont="1" applyBorder="1" applyAlignment="1">
      <alignment/>
    </xf>
    <xf numFmtId="0" fontId="6" fillId="0" borderId="16" xfId="0" applyFont="1" applyBorder="1" applyAlignment="1">
      <alignment/>
    </xf>
    <xf numFmtId="0" fontId="6" fillId="0" borderId="22" xfId="0" applyFont="1" applyBorder="1" applyAlignment="1">
      <alignment/>
    </xf>
    <xf numFmtId="8" fontId="0" fillId="0" borderId="0" xfId="0" applyNumberFormat="1" applyAlignment="1">
      <alignment horizontal="center"/>
    </xf>
    <xf numFmtId="44" fontId="1" fillId="33" borderId="16" xfId="46" applyFont="1" applyFill="1" applyBorder="1" applyAlignment="1">
      <alignment/>
    </xf>
    <xf numFmtId="44" fontId="1" fillId="33" borderId="16" xfId="46" applyNumberFormat="1" applyFont="1" applyFill="1" applyBorder="1" applyAlignment="1">
      <alignment/>
    </xf>
    <xf numFmtId="0" fontId="0" fillId="0" borderId="26" xfId="0" applyBorder="1" applyAlignment="1">
      <alignment/>
    </xf>
    <xf numFmtId="44" fontId="1" fillId="0" borderId="27" xfId="46" applyFont="1" applyBorder="1" applyAlignment="1">
      <alignment/>
    </xf>
    <xf numFmtId="0" fontId="0" fillId="0" borderId="28" xfId="0" applyBorder="1" applyAlignment="1">
      <alignment/>
    </xf>
    <xf numFmtId="44" fontId="0" fillId="0" borderId="29" xfId="0" applyNumberFormat="1" applyBorder="1" applyAlignment="1">
      <alignment/>
    </xf>
    <xf numFmtId="0" fontId="0" fillId="0" borderId="30" xfId="0" applyFill="1" applyBorder="1" applyAlignment="1">
      <alignment/>
    </xf>
    <xf numFmtId="0" fontId="12" fillId="35" borderId="31" xfId="0" applyFont="1" applyFill="1" applyBorder="1" applyAlignment="1">
      <alignment horizontal="center" vertical="center" wrapText="1"/>
    </xf>
    <xf numFmtId="0" fontId="13" fillId="35" borderId="31" xfId="0" applyFont="1" applyFill="1" applyBorder="1" applyAlignment="1">
      <alignment wrapText="1"/>
    </xf>
    <xf numFmtId="0" fontId="45" fillId="35" borderId="31" xfId="55" applyFill="1" applyBorder="1" applyAlignment="1" applyProtection="1">
      <alignment wrapText="1"/>
      <protection/>
    </xf>
    <xf numFmtId="0" fontId="13" fillId="35" borderId="31" xfId="0" applyFont="1" applyFill="1" applyBorder="1" applyAlignment="1">
      <alignment horizontal="center" wrapText="1"/>
    </xf>
    <xf numFmtId="6" fontId="13" fillId="35" borderId="31" xfId="0" applyNumberFormat="1" applyFont="1" applyFill="1" applyBorder="1" applyAlignment="1">
      <alignment horizontal="right" wrapText="1"/>
    </xf>
    <xf numFmtId="0" fontId="13" fillId="35" borderId="32" xfId="0" applyFont="1" applyFill="1" applyBorder="1" applyAlignment="1">
      <alignment horizontal="center" wrapText="1"/>
    </xf>
    <xf numFmtId="0" fontId="13" fillId="35" borderId="33" xfId="0" applyFont="1" applyFill="1" applyBorder="1" applyAlignment="1">
      <alignment horizontal="center" wrapText="1"/>
    </xf>
    <xf numFmtId="0" fontId="45" fillId="35" borderId="31" xfId="55" applyFill="1" applyBorder="1" applyAlignment="1" applyProtection="1">
      <alignment horizontal="left" wrapText="1"/>
      <protection/>
    </xf>
    <xf numFmtId="0" fontId="0" fillId="36" borderId="0" xfId="0" applyFill="1" applyAlignment="1">
      <alignment/>
    </xf>
    <xf numFmtId="0" fontId="45" fillId="36" borderId="31" xfId="55" applyFill="1" applyBorder="1" applyAlignment="1" applyProtection="1">
      <alignment wrapText="1"/>
      <protection/>
    </xf>
    <xf numFmtId="0" fontId="13" fillId="36" borderId="31" xfId="0" applyFont="1" applyFill="1" applyBorder="1" applyAlignment="1">
      <alignment wrapText="1"/>
    </xf>
    <xf numFmtId="0" fontId="13" fillId="36" borderId="31" xfId="0" applyFont="1" applyFill="1" applyBorder="1" applyAlignment="1">
      <alignment horizontal="center" wrapText="1"/>
    </xf>
    <xf numFmtId="6" fontId="13" fillId="36" borderId="31" xfId="0" applyNumberFormat="1" applyFont="1" applyFill="1" applyBorder="1" applyAlignment="1">
      <alignment horizontal="right" wrapText="1"/>
    </xf>
    <xf numFmtId="0" fontId="0" fillId="0" borderId="34" xfId="0" applyBorder="1" applyAlignment="1">
      <alignment/>
    </xf>
    <xf numFmtId="44" fontId="1" fillId="0" borderId="35" xfId="46" applyFont="1" applyBorder="1" applyAlignment="1">
      <alignment/>
    </xf>
    <xf numFmtId="0" fontId="6" fillId="0" borderId="34" xfId="0" applyFont="1" applyBorder="1" applyAlignment="1">
      <alignment/>
    </xf>
    <xf numFmtId="0" fontId="6" fillId="0" borderId="15" xfId="0" applyFont="1" applyBorder="1" applyAlignment="1">
      <alignment horizontal="center"/>
    </xf>
    <xf numFmtId="0" fontId="0" fillId="0" borderId="0" xfId="0" applyBorder="1" applyAlignment="1">
      <alignment/>
    </xf>
    <xf numFmtId="0" fontId="14" fillId="0" borderId="10" xfId="0" applyFont="1" applyBorder="1" applyAlignment="1">
      <alignment/>
    </xf>
    <xf numFmtId="164" fontId="14" fillId="0" borderId="10" xfId="0" applyNumberFormat="1" applyFont="1" applyBorder="1" applyAlignment="1">
      <alignment/>
    </xf>
    <xf numFmtId="0" fontId="14" fillId="0" borderId="10" xfId="0" applyFont="1" applyBorder="1" applyAlignment="1">
      <alignment horizontal="center"/>
    </xf>
    <xf numFmtId="164" fontId="14" fillId="0" borderId="10" xfId="0" applyNumberFormat="1" applyFont="1" applyBorder="1" applyAlignment="1">
      <alignment horizontal="right"/>
    </xf>
    <xf numFmtId="0" fontId="8" fillId="0" borderId="21" xfId="0" applyFont="1" applyBorder="1" applyAlignment="1">
      <alignment/>
    </xf>
    <xf numFmtId="44" fontId="8" fillId="0" borderId="16" xfId="46" applyFont="1" applyBorder="1" applyAlignment="1">
      <alignment/>
    </xf>
    <xf numFmtId="0" fontId="8" fillId="0" borderId="22" xfId="0" applyFont="1" applyBorder="1" applyAlignment="1">
      <alignment/>
    </xf>
    <xf numFmtId="44" fontId="8" fillId="0" borderId="18" xfId="46" applyFont="1" applyBorder="1" applyAlignment="1">
      <alignment/>
    </xf>
    <xf numFmtId="0" fontId="6" fillId="0" borderId="0" xfId="0" applyFont="1" applyAlignment="1">
      <alignment/>
    </xf>
    <xf numFmtId="44" fontId="6" fillId="0" borderId="10" xfId="0" applyNumberFormat="1" applyFont="1" applyBorder="1" applyAlignment="1">
      <alignment/>
    </xf>
    <xf numFmtId="43" fontId="6" fillId="0" borderId="10" xfId="42" applyFont="1" applyBorder="1" applyAlignment="1">
      <alignment/>
    </xf>
    <xf numFmtId="44" fontId="1" fillId="34" borderId="10" xfId="46" applyFont="1" applyFill="1" applyBorder="1" applyAlignment="1">
      <alignment/>
    </xf>
    <xf numFmtId="0" fontId="6" fillId="0" borderId="15" xfId="0" applyFont="1" applyBorder="1" applyAlignment="1">
      <alignment/>
    </xf>
    <xf numFmtId="0" fontId="6" fillId="0" borderId="17" xfId="0" applyFont="1" applyBorder="1" applyAlignment="1">
      <alignment/>
    </xf>
    <xf numFmtId="43" fontId="6" fillId="0" borderId="16" xfId="42" applyFont="1" applyBorder="1" applyAlignment="1">
      <alignment/>
    </xf>
    <xf numFmtId="44" fontId="1" fillId="34" borderId="16" xfId="46" applyFont="1" applyFill="1" applyBorder="1" applyAlignment="1">
      <alignment/>
    </xf>
    <xf numFmtId="0" fontId="0" fillId="0" borderId="15"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6" xfId="0" applyFont="1" applyBorder="1" applyAlignment="1">
      <alignment/>
    </xf>
    <xf numFmtId="0" fontId="6" fillId="34" borderId="21" xfId="0" applyFont="1" applyFill="1" applyBorder="1" applyAlignment="1">
      <alignment/>
    </xf>
    <xf numFmtId="43" fontId="1" fillId="34" borderId="16" xfId="42" applyFont="1" applyFill="1" applyBorder="1" applyAlignment="1">
      <alignment/>
    </xf>
    <xf numFmtId="43" fontId="6" fillId="0" borderId="14" xfId="42" applyFont="1" applyBorder="1" applyAlignment="1">
      <alignment/>
    </xf>
    <xf numFmtId="0" fontId="10" fillId="0" borderId="10" xfId="0" applyFont="1" applyBorder="1" applyAlignment="1">
      <alignment horizontal="center"/>
    </xf>
    <xf numFmtId="44" fontId="6" fillId="0" borderId="36" xfId="46" applyFont="1" applyBorder="1" applyAlignment="1">
      <alignment/>
    </xf>
    <xf numFmtId="44" fontId="6" fillId="0" borderId="34" xfId="46" applyFont="1" applyBorder="1" applyAlignment="1">
      <alignment/>
    </xf>
    <xf numFmtId="0" fontId="0" fillId="0" borderId="0" xfId="0" applyFill="1" applyBorder="1" applyAlignment="1">
      <alignment/>
    </xf>
    <xf numFmtId="0" fontId="6" fillId="0" borderId="0" xfId="0" applyFont="1" applyFill="1" applyBorder="1" applyAlignment="1">
      <alignment/>
    </xf>
    <xf numFmtId="0" fontId="6" fillId="0" borderId="0" xfId="0" applyFont="1" applyBorder="1" applyAlignment="1">
      <alignment/>
    </xf>
    <xf numFmtId="44" fontId="0" fillId="0" borderId="0" xfId="0" applyNumberFormat="1" applyBorder="1" applyAlignment="1">
      <alignment/>
    </xf>
    <xf numFmtId="0" fontId="6" fillId="0" borderId="21" xfId="0" applyFont="1" applyBorder="1" applyAlignment="1" applyProtection="1">
      <alignment/>
      <protection locked="0"/>
    </xf>
    <xf numFmtId="0" fontId="6" fillId="0" borderId="37" xfId="0" applyFont="1" applyBorder="1" applyAlignment="1" applyProtection="1">
      <alignment/>
      <protection locked="0"/>
    </xf>
    <xf numFmtId="0" fontId="6" fillId="0" borderId="38" xfId="0" applyFont="1" applyFill="1" applyBorder="1" applyAlignment="1" applyProtection="1">
      <alignment horizontal="right"/>
      <protection locked="0"/>
    </xf>
    <xf numFmtId="44" fontId="6" fillId="0" borderId="10" xfId="0" applyNumberFormat="1" applyFont="1" applyBorder="1" applyAlignment="1" applyProtection="1">
      <alignment/>
      <protection locked="0"/>
    </xf>
    <xf numFmtId="43" fontId="6" fillId="0" borderId="10" xfId="42" applyFont="1" applyBorder="1" applyAlignment="1" applyProtection="1">
      <alignment/>
      <protection locked="0"/>
    </xf>
    <xf numFmtId="0" fontId="6" fillId="0" borderId="10" xfId="0" applyFont="1" applyBorder="1" applyAlignment="1" applyProtection="1">
      <alignment horizontal="center"/>
      <protection locked="0"/>
    </xf>
    <xf numFmtId="44" fontId="1" fillId="0" borderId="10" xfId="46" applyFont="1" applyBorder="1" applyAlignment="1" applyProtection="1">
      <alignment/>
      <protection locked="0"/>
    </xf>
    <xf numFmtId="44" fontId="1" fillId="0" borderId="39" xfId="46" applyFont="1" applyBorder="1" applyAlignment="1" applyProtection="1">
      <alignment/>
      <protection locked="0"/>
    </xf>
    <xf numFmtId="0" fontId="6" fillId="0" borderId="10" xfId="0" applyFont="1" applyBorder="1" applyAlignment="1" applyProtection="1">
      <alignment/>
      <protection locked="0"/>
    </xf>
    <xf numFmtId="164" fontId="0" fillId="0" borderId="10" xfId="0" applyNumberFormat="1" applyBorder="1" applyAlignment="1" applyProtection="1">
      <alignment/>
      <protection locked="0"/>
    </xf>
    <xf numFmtId="0" fontId="0" fillId="0" borderId="0" xfId="0" applyAlignment="1">
      <alignment wrapText="1"/>
    </xf>
    <xf numFmtId="0" fontId="0" fillId="0" borderId="0" xfId="0" applyAlignment="1" applyProtection="1">
      <alignment wrapText="1"/>
      <protection locked="0"/>
    </xf>
    <xf numFmtId="44" fontId="0" fillId="0" borderId="10" xfId="0" applyNumberFormat="1" applyBorder="1" applyAlignment="1" applyProtection="1">
      <alignment/>
      <protection locked="0"/>
    </xf>
    <xf numFmtId="44" fontId="1" fillId="0" borderId="10" xfId="46" applyNumberFormat="1" applyFont="1" applyBorder="1" applyAlignment="1" applyProtection="1">
      <alignment/>
      <protection locked="0"/>
    </xf>
    <xf numFmtId="0" fontId="9" fillId="0" borderId="10" xfId="0" applyFont="1" applyBorder="1" applyAlignment="1" applyProtection="1">
      <alignment/>
      <protection locked="0"/>
    </xf>
    <xf numFmtId="0" fontId="10" fillId="0" borderId="10" xfId="0" applyFont="1" applyBorder="1" applyAlignment="1" applyProtection="1">
      <alignment/>
      <protection locked="0"/>
    </xf>
    <xf numFmtId="0" fontId="0" fillId="0" borderId="10" xfId="0" applyBorder="1" applyAlignment="1" applyProtection="1">
      <alignment/>
      <protection locked="0"/>
    </xf>
    <xf numFmtId="0" fontId="15" fillId="0" borderId="0" xfId="0" applyFont="1" applyBorder="1" applyAlignment="1">
      <alignment horizontal="center"/>
    </xf>
    <xf numFmtId="43" fontId="15" fillId="0" borderId="0" xfId="42" applyFont="1" applyBorder="1" applyAlignment="1">
      <alignment horizontal="center"/>
    </xf>
    <xf numFmtId="0" fontId="6" fillId="0" borderId="0" xfId="0" applyFont="1" applyBorder="1" applyAlignment="1">
      <alignment horizontal="left"/>
    </xf>
    <xf numFmtId="43" fontId="1" fillId="0" borderId="0" xfId="42" applyFont="1" applyBorder="1" applyAlignment="1">
      <alignment/>
    </xf>
    <xf numFmtId="43" fontId="0" fillId="0" borderId="0" xfId="0" applyNumberFormat="1" applyBorder="1" applyAlignment="1">
      <alignment/>
    </xf>
    <xf numFmtId="0" fontId="6" fillId="0" borderId="0" xfId="0" applyFont="1" applyBorder="1" applyAlignment="1">
      <alignment wrapText="1"/>
    </xf>
    <xf numFmtId="0" fontId="0" fillId="0" borderId="0" xfId="0" applyNumberFormat="1" applyBorder="1" applyAlignment="1">
      <alignment/>
    </xf>
    <xf numFmtId="0" fontId="6" fillId="34" borderId="21" xfId="0" applyFont="1" applyFill="1" applyBorder="1" applyAlignment="1" applyProtection="1">
      <alignment/>
      <protection locked="0"/>
    </xf>
    <xf numFmtId="43" fontId="6" fillId="0" borderId="16" xfId="42" applyFont="1" applyBorder="1" applyAlignment="1" applyProtection="1">
      <alignment horizontal="center"/>
      <protection locked="0"/>
    </xf>
    <xf numFmtId="43" fontId="6" fillId="0" borderId="10" xfId="42" applyFont="1" applyBorder="1" applyAlignment="1" applyProtection="1">
      <alignment/>
      <protection/>
    </xf>
    <xf numFmtId="43" fontId="6" fillId="0" borderId="16" xfId="42" applyFont="1" applyBorder="1" applyAlignment="1" applyProtection="1">
      <alignment/>
      <protection/>
    </xf>
    <xf numFmtId="0" fontId="6" fillId="0" borderId="10" xfId="0" applyFont="1" applyBorder="1" applyAlignment="1" applyProtection="1">
      <alignment horizontal="right"/>
      <protection locked="0"/>
    </xf>
    <xf numFmtId="0" fontId="6" fillId="0" borderId="16" xfId="0" applyFont="1" applyBorder="1" applyAlignment="1" applyProtection="1">
      <alignment/>
      <protection locked="0"/>
    </xf>
    <xf numFmtId="0" fontId="15" fillId="0" borderId="0" xfId="0" applyFont="1" applyFill="1" applyBorder="1" applyAlignment="1">
      <alignment horizontal="center"/>
    </xf>
    <xf numFmtId="43" fontId="15" fillId="0" borderId="0" xfId="42" applyFont="1" applyFill="1" applyBorder="1" applyAlignment="1">
      <alignment horizontal="center"/>
    </xf>
    <xf numFmtId="0" fontId="6" fillId="0" borderId="0" xfId="0" applyFont="1" applyFill="1" applyBorder="1" applyAlignment="1">
      <alignment horizontal="left"/>
    </xf>
    <xf numFmtId="43" fontId="1" fillId="0" borderId="0" xfId="42" applyFont="1" applyFill="1" applyBorder="1" applyAlignment="1">
      <alignment/>
    </xf>
    <xf numFmtId="44" fontId="0" fillId="0" borderId="0" xfId="0" applyNumberFormat="1" applyFill="1" applyBorder="1" applyAlignment="1">
      <alignment/>
    </xf>
    <xf numFmtId="43" fontId="0" fillId="0" borderId="0" xfId="0" applyNumberFormat="1" applyFill="1" applyBorder="1" applyAlignment="1">
      <alignment/>
    </xf>
    <xf numFmtId="0" fontId="6" fillId="0" borderId="0" xfId="0" applyFont="1" applyFill="1" applyBorder="1" applyAlignment="1">
      <alignment wrapText="1"/>
    </xf>
    <xf numFmtId="0" fontId="0" fillId="0" borderId="0" xfId="0" applyNumberFormat="1" applyFill="1" applyBorder="1" applyAlignment="1">
      <alignment/>
    </xf>
    <xf numFmtId="0" fontId="16" fillId="0" borderId="0" xfId="0" applyFont="1" applyFill="1" applyBorder="1" applyAlignment="1">
      <alignment/>
    </xf>
    <xf numFmtId="0" fontId="16" fillId="0" borderId="0" xfId="0" applyFont="1" applyBorder="1" applyAlignment="1">
      <alignment/>
    </xf>
    <xf numFmtId="0" fontId="6"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lignment horizontal="center"/>
    </xf>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protection/>
    </xf>
    <xf numFmtId="0" fontId="6" fillId="0" borderId="24"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17" fillId="35" borderId="40" xfId="0" applyFont="1" applyFill="1" applyBorder="1" applyAlignment="1">
      <alignment horizontal="center" vertical="center" wrapText="1"/>
    </xf>
    <xf numFmtId="0" fontId="17" fillId="35" borderId="41" xfId="0" applyFont="1" applyFill="1" applyBorder="1" applyAlignment="1">
      <alignment horizontal="center" vertical="center" wrapText="1"/>
    </xf>
    <xf numFmtId="0" fontId="17" fillId="35" borderId="42" xfId="0" applyFont="1" applyFill="1" applyBorder="1" applyAlignment="1">
      <alignment horizontal="center" vertical="center" wrapText="1"/>
    </xf>
    <xf numFmtId="0" fontId="45" fillId="35" borderId="32" xfId="55" applyFill="1" applyBorder="1" applyAlignment="1" applyProtection="1">
      <alignment wrapText="1"/>
      <protection/>
    </xf>
    <xf numFmtId="0" fontId="45" fillId="35" borderId="33" xfId="55" applyFill="1" applyBorder="1" applyAlignment="1" applyProtection="1">
      <alignment wrapText="1"/>
      <protection/>
    </xf>
    <xf numFmtId="0" fontId="13" fillId="35" borderId="32" xfId="0" applyFont="1" applyFill="1" applyBorder="1" applyAlignment="1">
      <alignment wrapText="1"/>
    </xf>
    <xf numFmtId="0" fontId="13" fillId="35" borderId="33" xfId="0" applyFont="1" applyFill="1" applyBorder="1" applyAlignment="1">
      <alignment wrapText="1"/>
    </xf>
    <xf numFmtId="0" fontId="13" fillId="35" borderId="32" xfId="0" applyFont="1" applyFill="1" applyBorder="1" applyAlignment="1">
      <alignment horizontal="center" wrapText="1"/>
    </xf>
    <xf numFmtId="0" fontId="13" fillId="35" borderId="33" xfId="0" applyFont="1" applyFill="1" applyBorder="1" applyAlignment="1">
      <alignment horizontal="center" wrapText="1"/>
    </xf>
    <xf numFmtId="6" fontId="13" fillId="35" borderId="32" xfId="0" applyNumberFormat="1" applyFont="1" applyFill="1" applyBorder="1" applyAlignment="1">
      <alignment horizontal="right" wrapText="1"/>
    </xf>
    <xf numFmtId="6" fontId="13" fillId="35" borderId="33" xfId="0" applyNumberFormat="1" applyFont="1" applyFill="1" applyBorder="1" applyAlignment="1">
      <alignment horizontal="right" wrapText="1"/>
    </xf>
    <xf numFmtId="0" fontId="6" fillId="0" borderId="43" xfId="0" applyFont="1" applyBorder="1" applyAlignment="1">
      <alignment horizontal="left"/>
    </xf>
    <xf numFmtId="0" fontId="6" fillId="0" borderId="44" xfId="0" applyFont="1" applyBorder="1" applyAlignment="1">
      <alignment horizontal="left"/>
    </xf>
    <xf numFmtId="0" fontId="6" fillId="0" borderId="45" xfId="0" applyFont="1" applyBorder="1" applyAlignment="1">
      <alignment horizontal="left"/>
    </xf>
    <xf numFmtId="0" fontId="0" fillId="0" borderId="0" xfId="0"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9525</xdr:colOff>
      <xdr:row>3</xdr:row>
      <xdr:rowOff>142875</xdr:rowOff>
    </xdr:to>
    <xdr:pic>
      <xdr:nvPicPr>
        <xdr:cNvPr id="1" name="Picture 1"/>
        <xdr:cNvPicPr preferRelativeResize="1">
          <a:picLocks noChangeAspect="1"/>
        </xdr:cNvPicPr>
      </xdr:nvPicPr>
      <xdr:blipFill>
        <a:blip r:embed="rId1"/>
        <a:stretch>
          <a:fillRect/>
        </a:stretch>
      </xdr:blipFill>
      <xdr:spPr>
        <a:xfrm>
          <a:off x="0" y="38100"/>
          <a:ext cx="49815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fillers.com/bottled%20water/BWL600BF.htm" TargetMode="External" /><Relationship Id="rId2" Type="http://schemas.openxmlformats.org/officeDocument/2006/relationships/hyperlink" Target="http://fillers.com/bottled%20water/BWL600BF-MC.htm" TargetMode="External" /><Relationship Id="rId3" Type="http://schemas.openxmlformats.org/officeDocument/2006/relationships/hyperlink" Target="http://fillers.com/bottled%20water/BWL600BF-MC-SL.htm" TargetMode="External" /><Relationship Id="rId4" Type="http://schemas.openxmlformats.org/officeDocument/2006/relationships/hyperlink" Target="http://fillers.com/bottled%20water/BWL1200MF-MC-SL.htm" TargetMode="External" /><Relationship Id="rId5" Type="http://schemas.openxmlformats.org/officeDocument/2006/relationships/hyperlink" Target="http://fillers.com/bottled%20water/BWL1000BF.htm" TargetMode="External" /><Relationship Id="rId6" Type="http://schemas.openxmlformats.org/officeDocument/2006/relationships/hyperlink" Target="http://fillers.com/bottled%20water/BWL1000BF-MC.htm" TargetMode="External" /><Relationship Id="rId7" Type="http://schemas.openxmlformats.org/officeDocument/2006/relationships/hyperlink" Target="http://fillers.com/bottled%20water/BWL1000BF-MC-SL.htm" TargetMode="External" /><Relationship Id="rId8" Type="http://schemas.openxmlformats.org/officeDocument/2006/relationships/hyperlink" Target="http://fillers.com/bottled%20water/BWL1200SF-MC-SL.htm" TargetMode="External" /><Relationship Id="rId9" Type="http://schemas.openxmlformats.org/officeDocument/2006/relationships/hyperlink" Target="http://fillers.com/bottled%20water/BWL1200SF-MC-SL.htm" TargetMode="External" /><Relationship Id="rId10" Type="http://schemas.openxmlformats.org/officeDocument/2006/relationships/hyperlink" Target="http://fillers.com/bottled%20water/BWL1200AF-MC-SL.htm" TargetMode="External" /><Relationship Id="rId11" Type="http://schemas.openxmlformats.org/officeDocument/2006/relationships/hyperlink" Target="http://fillers.com/bottled%20water/BWL1200AF-VAR-MC-SL.htm" TargetMode="External" /><Relationship Id="rId12" Type="http://schemas.openxmlformats.org/officeDocument/2006/relationships/hyperlink" Target="http://fillers.com/bottled%20water/BWL1800MF-MC2-SL2.htm" TargetMode="External" /><Relationship Id="rId13" Type="http://schemas.openxmlformats.org/officeDocument/2006/relationships/hyperlink" Target="http://fillers.com/bottled%20water/BWL1800SF-MC2-SL2.htm" TargetMode="External" /><Relationship Id="rId14" Type="http://schemas.openxmlformats.org/officeDocument/2006/relationships/hyperlink" Target="http://fillers.com/bottled%20water/BWL1800SF-VAR-MC2-SL2.htm" TargetMode="External" /><Relationship Id="rId15" Type="http://schemas.openxmlformats.org/officeDocument/2006/relationships/hyperlink" Target="http://fillers.com/bottled%20water/BWL1800AF-MC2-SL2.htm" TargetMode="External" /><Relationship Id="rId16" Type="http://schemas.openxmlformats.org/officeDocument/2006/relationships/hyperlink" Target="http://fillers.com/bottled%20water/BWL1800AF-VAR-MC2-SL2.htm" TargetMode="External" /><Relationship Id="rId17" Type="http://schemas.openxmlformats.org/officeDocument/2006/relationships/hyperlink" Target="http://fillers.com/bottled%20water/BWL1800AF-VAR-MC2-AL.htm" TargetMode="External" /><Relationship Id="rId18" Type="http://schemas.openxmlformats.org/officeDocument/2006/relationships/hyperlink" Target="http://fillers.com/bottled%20water/BWL1800AF-MC2-AL.htm" TargetMode="External" /><Relationship Id="rId19" Type="http://schemas.openxmlformats.org/officeDocument/2006/relationships/hyperlink" Target="http://fillers.com/bottled%20water/BWL2000AF-SC-AL.htm" TargetMode="External" /><Relationship Id="rId20" Type="http://schemas.openxmlformats.org/officeDocument/2006/relationships/hyperlink" Target="http://fillers.com/bottled%20water/BWL2000AF-VAR-SC-AL.htm" TargetMode="External" /><Relationship Id="rId21" Type="http://schemas.openxmlformats.org/officeDocument/2006/relationships/hyperlink" Target="http://fillers.com/bottled%20water/BWL2000AF-AC-AL.htm" TargetMode="External" /><Relationship Id="rId22" Type="http://schemas.openxmlformats.org/officeDocument/2006/relationships/hyperlink" Target="http://fillers.com/bottled%20water/BWL2000AF-VAR-AC-AL.htm" TargetMode="External" /><Relationship Id="rId23" Type="http://schemas.openxmlformats.org/officeDocument/2006/relationships/hyperlink" Target="http://fillers.com/bottled%20water/BWL3000AF-AC-AL.htm" TargetMode="External" /><Relationship Id="rId24" Type="http://schemas.openxmlformats.org/officeDocument/2006/relationships/hyperlink" Target="http://fillers.com/bottled%20water/BWL3000AF-VAR-AC-AL.htm" TargetMode="External" /><Relationship Id="rId25" Type="http://schemas.openxmlformats.org/officeDocument/2006/relationships/hyperlink" Target="http://fillers.com/bottled%20water/BWL3600AF-AC-AL.htm" TargetMode="External" /><Relationship Id="rId26" Type="http://schemas.openxmlformats.org/officeDocument/2006/relationships/hyperlink" Target="http://fillers.com/bottled%20water/BWL3600AF-VAR-AC-AL.htm" TargetMode="External" /><Relationship Id="rId27" Type="http://schemas.openxmlformats.org/officeDocument/2006/relationships/hyperlink" Target="http://fillers.com/bottled%20water/BWL4300AF-AC-AL.htm" TargetMode="External" /><Relationship Id="rId28" Type="http://schemas.openxmlformats.org/officeDocument/2006/relationships/hyperlink" Target="http://fillers.com/bottled%20water/BWL4300AF-VAR-AC-AL.htm" TargetMode="External" /><Relationship Id="rId29" Type="http://schemas.openxmlformats.org/officeDocument/2006/relationships/hyperlink" Target="http://fillers.com/bottled%20water/BWL5200AF-AC-AL.htm" TargetMode="External" /><Relationship Id="rId30" Type="http://schemas.openxmlformats.org/officeDocument/2006/relationships/hyperlink" Target="http://fillers.com/bottled%20water/BWL5200AF-VAR-AC-AL.htm" TargetMode="External" /><Relationship Id="rId31" Type="http://schemas.openxmlformats.org/officeDocument/2006/relationships/hyperlink" Target="http://fillers.com/bottled%20water/BWL6000AF-AC-AL.htm" TargetMode="External" /><Relationship Id="rId32" Type="http://schemas.openxmlformats.org/officeDocument/2006/relationships/hyperlink" Target="http://fillers.com/bottled%20water/BWL6000AF-VAR-AC-AL.htm" TargetMode="External" /><Relationship Id="rId33" Type="http://schemas.openxmlformats.org/officeDocument/2006/relationships/comments" Target="../comments24.xml" /><Relationship Id="rId34" Type="http://schemas.openxmlformats.org/officeDocument/2006/relationships/vmlDrawing" Target="../drawings/vmlDrawing1.vml" /><Relationship Id="rId35"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view="pageLayout" zoomScaleNormal="112" workbookViewId="0" topLeftCell="A1">
      <selection activeCell="A8" sqref="A8"/>
    </sheetView>
  </sheetViews>
  <sheetFormatPr defaultColWidth="9.140625" defaultRowHeight="15"/>
  <cols>
    <col min="1" max="1" width="13.7109375" style="0" customWidth="1"/>
    <col min="2" max="4" width="15.28125" style="0" bestFit="1" customWidth="1"/>
    <col min="5" max="5" width="15.00390625" style="0" bestFit="1" customWidth="1"/>
    <col min="6" max="6" width="15.00390625" style="0" hidden="1" customWidth="1"/>
    <col min="7" max="7" width="18.8515625" style="0" hidden="1" customWidth="1"/>
    <col min="8" max="8" width="15.8515625" style="0" hidden="1" customWidth="1"/>
    <col min="9" max="9" width="15.57421875" style="0" customWidth="1"/>
    <col min="10" max="10" width="13.421875" style="0" bestFit="1" customWidth="1"/>
  </cols>
  <sheetData>
    <row r="1" spans="1:5" ht="15">
      <c r="A1" s="175"/>
      <c r="B1" s="175"/>
      <c r="C1" s="175"/>
      <c r="D1" s="175"/>
      <c r="E1" s="175"/>
    </row>
    <row r="2" spans="1:5" ht="15">
      <c r="A2" s="175"/>
      <c r="B2" s="175"/>
      <c r="C2" s="175"/>
      <c r="D2" s="175"/>
      <c r="E2" s="175"/>
    </row>
    <row r="3" spans="1:5" ht="15">
      <c r="A3" s="175"/>
      <c r="B3" s="175"/>
      <c r="C3" s="175"/>
      <c r="D3" s="175"/>
      <c r="E3" s="175"/>
    </row>
    <row r="4" spans="1:5" ht="15">
      <c r="A4" s="175"/>
      <c r="B4" s="175"/>
      <c r="C4" s="175"/>
      <c r="D4" s="175"/>
      <c r="E4" s="175"/>
    </row>
    <row r="7" spans="1:8" ht="15">
      <c r="A7" s="146"/>
      <c r="B7" s="42"/>
      <c r="C7" s="125" t="s">
        <v>78</v>
      </c>
      <c r="D7" s="125" t="s">
        <v>79</v>
      </c>
      <c r="E7" s="125" t="s">
        <v>80</v>
      </c>
      <c r="F7" s="51" t="s">
        <v>72</v>
      </c>
      <c r="G7" s="51" t="s">
        <v>71</v>
      </c>
      <c r="H7" s="51" t="s">
        <v>81</v>
      </c>
    </row>
    <row r="8" spans="1:8" ht="15">
      <c r="A8" s="147" t="s">
        <v>75</v>
      </c>
      <c r="B8" s="43"/>
      <c r="C8" s="30">
        <f>'Summary Best'!$B$34</f>
        <v>-495000</v>
      </c>
      <c r="D8" s="30">
        <f>'Summary Most Likely'!$B$34</f>
        <v>-295000</v>
      </c>
      <c r="E8" s="30">
        <f>'Summary Worst'!$B$34</f>
        <v>-295000</v>
      </c>
      <c r="F8" s="45">
        <f>((E8-C8)/6)</f>
        <v>33333.333333333336</v>
      </c>
      <c r="G8" s="45">
        <f>(F8^2)</f>
        <v>1111111111.1111112</v>
      </c>
      <c r="H8" s="45">
        <f>(C8+(4)*(D8)+E8)/6</f>
        <v>-328333.3333333333</v>
      </c>
    </row>
    <row r="9" spans="1:8" ht="15">
      <c r="A9" s="147"/>
      <c r="B9" s="43"/>
      <c r="C9" s="30"/>
      <c r="D9" s="30"/>
      <c r="E9" s="30"/>
      <c r="F9" s="45"/>
      <c r="G9" s="45"/>
      <c r="H9" s="45"/>
    </row>
    <row r="10" spans="1:8" ht="15">
      <c r="A10" s="147"/>
      <c r="B10" s="5"/>
      <c r="C10" s="44"/>
      <c r="D10" s="45"/>
      <c r="E10" s="45"/>
      <c r="F10" s="45"/>
      <c r="G10" s="45"/>
      <c r="H10" s="5"/>
    </row>
    <row r="11" spans="1:8" ht="15">
      <c r="A11" s="147" t="s">
        <v>69</v>
      </c>
      <c r="B11" s="43"/>
      <c r="C11" s="30">
        <f>'Summary Best'!$C$34</f>
        <v>-728443.5273500001</v>
      </c>
      <c r="D11" s="30">
        <f>'Summary Most Likely'!$C$34</f>
        <v>-794283.6440000001</v>
      </c>
      <c r="E11" s="30">
        <f>'Summary Worst'!$C$34</f>
        <v>-804172.7100000002</v>
      </c>
      <c r="F11" s="45">
        <f>((E11-C11)/6)</f>
        <v>-12621.530441666682</v>
      </c>
      <c r="G11" s="45">
        <f>(F11^2)</f>
        <v>159303030.68991876</v>
      </c>
      <c r="H11" s="45">
        <f>(C11+(4)*(D11)+E11)/6</f>
        <v>-784958.4688916667</v>
      </c>
    </row>
    <row r="12" spans="1:8" ht="15">
      <c r="A12" s="140"/>
      <c r="B12" s="5"/>
      <c r="C12" s="44"/>
      <c r="D12" s="45"/>
      <c r="E12" s="45"/>
      <c r="F12" s="45"/>
      <c r="G12" s="45"/>
      <c r="H12" s="5"/>
    </row>
    <row r="13" spans="1:8" ht="15">
      <c r="A13" s="147"/>
      <c r="B13" s="5"/>
      <c r="C13" s="44"/>
      <c r="D13" s="45"/>
      <c r="E13" s="45"/>
      <c r="F13" s="45"/>
      <c r="G13" s="45"/>
      <c r="H13" s="5"/>
    </row>
    <row r="14" spans="1:8" ht="15">
      <c r="A14" s="147" t="s">
        <v>73</v>
      </c>
      <c r="B14" s="43"/>
      <c r="C14" s="30">
        <f>'Summary Best'!$D$34</f>
        <v>315846.7260330243</v>
      </c>
      <c r="D14" s="30">
        <f>'Summary Most Likely'!$D$34</f>
        <v>-229048.1078670298</v>
      </c>
      <c r="E14" s="30">
        <f>'Summary Worst'!$D$34</f>
        <v>-649879.4099309061</v>
      </c>
      <c r="F14" s="45">
        <f>((E14-C14)/6)</f>
        <v>-160954.35599398843</v>
      </c>
      <c r="G14" s="45">
        <f>(F14^2)</f>
        <v>25906304713.43956</v>
      </c>
      <c r="H14" s="45">
        <f>(C14+(4)*(D14)+E14)/6</f>
        <v>-208370.85256100018</v>
      </c>
    </row>
    <row r="15" spans="1:8" ht="15">
      <c r="A15" s="140"/>
      <c r="B15" s="43"/>
      <c r="C15" s="45"/>
      <c r="D15" s="48"/>
      <c r="E15" s="45"/>
      <c r="F15" s="45"/>
      <c r="G15" s="45"/>
      <c r="H15" s="45"/>
    </row>
    <row r="16" spans="1:8" ht="15">
      <c r="A16" s="140"/>
      <c r="B16" s="43"/>
      <c r="C16" s="45"/>
      <c r="D16" s="48"/>
      <c r="E16" s="45"/>
      <c r="F16" s="45"/>
      <c r="G16" s="45"/>
      <c r="H16" s="45"/>
    </row>
    <row r="17" spans="1:8" ht="15">
      <c r="A17" s="147" t="s">
        <v>74</v>
      </c>
      <c r="B17" s="43"/>
      <c r="C17" s="30">
        <f>'Summary Best'!$E$34</f>
        <v>2915238.776832016</v>
      </c>
      <c r="D17" s="30">
        <f>'Summary Most Likely'!$E$34</f>
        <v>1015486.7991833744</v>
      </c>
      <c r="E17" s="30">
        <f>'Summary Worst'!$E$34</f>
        <v>-68397.78414616222</v>
      </c>
      <c r="F17" s="45">
        <f>((E17-C17)/6)</f>
        <v>-497272.7601630297</v>
      </c>
      <c r="G17" s="45">
        <f>(F17^2)</f>
        <v>247280198000.15808</v>
      </c>
      <c r="H17" s="45">
        <f>(C17+(4)*(D17)+E17)/6</f>
        <v>1151464.6982365586</v>
      </c>
    </row>
    <row r="18" spans="1:8" ht="15">
      <c r="A18" s="147"/>
      <c r="B18" s="43"/>
      <c r="C18" s="45"/>
      <c r="D18" s="48"/>
      <c r="E18" s="45"/>
      <c r="F18" s="45"/>
      <c r="G18" s="45"/>
      <c r="H18" s="45"/>
    </row>
    <row r="19" spans="1:8" ht="15">
      <c r="A19" s="147"/>
      <c r="B19" s="43"/>
      <c r="C19" s="45"/>
      <c r="D19" s="48"/>
      <c r="E19" s="45"/>
      <c r="F19" s="45"/>
      <c r="G19" s="45"/>
      <c r="H19" s="45"/>
    </row>
    <row r="20" spans="1:8" ht="15">
      <c r="A20" s="147" t="s">
        <v>76</v>
      </c>
      <c r="B20" s="43"/>
      <c r="C20" s="30">
        <f>'Summary Best'!$F$34</f>
        <v>6645237.802510079</v>
      </c>
      <c r="D20" s="30">
        <f>'Summary Most Likely'!$F$34</f>
        <v>3599015.2582434574</v>
      </c>
      <c r="E20" s="30">
        <f>'Summary Worst'!$F$34</f>
        <v>1492175.661073547</v>
      </c>
      <c r="F20" s="45">
        <f>((E20-C20)/6)</f>
        <v>-858843.690239422</v>
      </c>
      <c r="G20" s="45">
        <f>(F20^2)</f>
        <v>737612484264.0682</v>
      </c>
      <c r="H20" s="45">
        <f>(C20+(4)*(D20)+E20)/6</f>
        <v>3755579.082759576</v>
      </c>
    </row>
    <row r="21" spans="1:8" ht="15">
      <c r="A21" s="147"/>
      <c r="B21" s="43"/>
      <c r="C21" s="45"/>
      <c r="D21" s="48"/>
      <c r="E21" s="45"/>
      <c r="F21" s="45"/>
      <c r="G21" s="45"/>
      <c r="H21" s="45"/>
    </row>
    <row r="22" spans="1:8" ht="15">
      <c r="A22" s="147"/>
      <c r="B22" s="43"/>
      <c r="C22" s="45"/>
      <c r="D22" s="48"/>
      <c r="E22" s="45"/>
      <c r="F22" s="45"/>
      <c r="G22" s="45"/>
      <c r="H22" s="45"/>
    </row>
    <row r="23" spans="1:8" ht="15">
      <c r="A23" s="147" t="s">
        <v>77</v>
      </c>
      <c r="B23" s="43"/>
      <c r="C23" s="30">
        <f>'Summary Best'!$G$34</f>
        <v>12385851.49329758</v>
      </c>
      <c r="D23" s="30">
        <f>'Summary Most Likely'!$G$34</f>
        <v>6940417.534129547</v>
      </c>
      <c r="E23" s="30">
        <f>'Summary Worst'!$G$34</f>
        <v>3510464.2900682776</v>
      </c>
      <c r="F23" s="45">
        <f>((E23-C23)/6)</f>
        <v>-1479231.200538217</v>
      </c>
      <c r="G23" s="45">
        <f>(F23^2)</f>
        <v>2188124944645.735</v>
      </c>
      <c r="H23" s="45">
        <f>(C23+(4)*(D23)+E23)/6</f>
        <v>7276330.986647341</v>
      </c>
    </row>
    <row r="24" spans="1:8" ht="15">
      <c r="A24" s="147"/>
      <c r="B24" s="43"/>
      <c r="C24" s="45"/>
      <c r="D24" s="48"/>
      <c r="E24" s="45"/>
      <c r="F24" s="45"/>
      <c r="G24" s="45"/>
      <c r="H24" s="45"/>
    </row>
    <row r="25" spans="1:8" ht="15">
      <c r="A25" s="140"/>
      <c r="B25" s="43"/>
      <c r="C25" s="45"/>
      <c r="D25" s="48"/>
      <c r="E25" s="45"/>
      <c r="F25" s="45"/>
      <c r="G25" s="45"/>
      <c r="H25" s="45"/>
    </row>
    <row r="26" spans="1:8" ht="15">
      <c r="A26" s="140"/>
      <c r="B26" s="49" t="s">
        <v>70</v>
      </c>
      <c r="C26" s="50" t="s">
        <v>82</v>
      </c>
      <c r="D26" s="50" t="s">
        <v>83</v>
      </c>
      <c r="E26" s="45"/>
      <c r="F26" s="51" t="s">
        <v>72</v>
      </c>
      <c r="G26" s="45"/>
      <c r="H26" s="51" t="s">
        <v>81</v>
      </c>
    </row>
    <row r="27" spans="1:8" ht="15">
      <c r="A27" s="140"/>
      <c r="B27" s="5"/>
      <c r="C27" s="46"/>
      <c r="D27" s="7"/>
      <c r="E27" s="5"/>
      <c r="F27" s="5"/>
      <c r="G27" s="5"/>
      <c r="H27" s="5"/>
    </row>
    <row r="28" spans="1:8" ht="15">
      <c r="A28" s="147" t="s">
        <v>197</v>
      </c>
      <c r="B28" s="5"/>
      <c r="C28" s="46"/>
      <c r="D28" s="7"/>
      <c r="E28" s="5"/>
      <c r="F28" s="5"/>
      <c r="G28" s="5"/>
      <c r="H28" s="5"/>
    </row>
    <row r="29" spans="1:8" ht="15">
      <c r="A29" s="148"/>
      <c r="B29" s="43">
        <v>0.68</v>
      </c>
      <c r="C29" s="52">
        <f>(H29-F29)</f>
        <v>9072803.410389626</v>
      </c>
      <c r="D29" s="53">
        <f>(H29+F29)</f>
        <v>12650620.815325325</v>
      </c>
      <c r="E29" s="54"/>
      <c r="F29" s="53">
        <f>(G8+G11+G14+G17+G20+G23)^0.5</f>
        <v>1788908.7024678488</v>
      </c>
      <c r="G29" s="45"/>
      <c r="H29" s="45">
        <f>SUM(H8:H28)</f>
        <v>10861712.112857476</v>
      </c>
    </row>
    <row r="30" spans="1:8" ht="15">
      <c r="A30" s="148"/>
      <c r="B30" s="43">
        <v>0.95</v>
      </c>
      <c r="C30" s="53">
        <f>(C29-F29)</f>
        <v>7283894.707921778</v>
      </c>
      <c r="D30" s="53">
        <f>(D29+F29)</f>
        <v>14439529.517793175</v>
      </c>
      <c r="E30" s="55"/>
      <c r="F30" s="55"/>
      <c r="G30" s="5"/>
      <c r="H30" s="5"/>
    </row>
    <row r="31" spans="1:8" ht="15">
      <c r="A31" s="148"/>
      <c r="B31" s="43">
        <v>0.99</v>
      </c>
      <c r="C31" s="53">
        <f>(C30-F29)</f>
        <v>5494986.005453929</v>
      </c>
      <c r="D31" s="53">
        <f>(D30+F29)</f>
        <v>16228438.220261024</v>
      </c>
      <c r="E31" s="55"/>
      <c r="F31" s="55"/>
      <c r="G31" s="5"/>
      <c r="H31" s="5"/>
    </row>
    <row r="34" spans="1:8" ht="15">
      <c r="A34" s="173" t="s">
        <v>214</v>
      </c>
      <c r="B34" s="173"/>
      <c r="C34" s="173"/>
      <c r="D34" s="173"/>
      <c r="E34" s="173"/>
      <c r="F34" s="173"/>
      <c r="G34" s="173"/>
      <c r="H34" s="173"/>
    </row>
    <row r="35" spans="1:8" ht="15">
      <c r="A35" s="173"/>
      <c r="B35" s="173"/>
      <c r="C35" s="173"/>
      <c r="D35" s="173"/>
      <c r="E35" s="173"/>
      <c r="F35" s="173"/>
      <c r="G35" s="173"/>
      <c r="H35" s="173"/>
    </row>
    <row r="36" spans="1:8" ht="15">
      <c r="A36" s="173"/>
      <c r="B36" s="173"/>
      <c r="C36" s="173"/>
      <c r="D36" s="173"/>
      <c r="E36" s="173"/>
      <c r="F36" s="173"/>
      <c r="G36" s="173"/>
      <c r="H36" s="173"/>
    </row>
    <row r="37" spans="1:8" ht="15">
      <c r="A37" s="173"/>
      <c r="B37" s="173"/>
      <c r="C37" s="173"/>
      <c r="D37" s="173"/>
      <c r="E37" s="173"/>
      <c r="F37" s="173"/>
      <c r="G37" s="173"/>
      <c r="H37" s="173"/>
    </row>
    <row r="38" spans="1:8" ht="15">
      <c r="A38" s="173"/>
      <c r="B38" s="173"/>
      <c r="C38" s="173"/>
      <c r="D38" s="173"/>
      <c r="E38" s="173"/>
      <c r="F38" s="173"/>
      <c r="G38" s="173"/>
      <c r="H38" s="173"/>
    </row>
    <row r="39" spans="1:8" ht="15">
      <c r="A39" s="173"/>
      <c r="B39" s="173"/>
      <c r="C39" s="173"/>
      <c r="D39" s="173"/>
      <c r="E39" s="173"/>
      <c r="F39" s="173"/>
      <c r="G39" s="173"/>
      <c r="H39" s="173"/>
    </row>
    <row r="40" spans="1:8" ht="15">
      <c r="A40" s="173"/>
      <c r="B40" s="173"/>
      <c r="C40" s="173"/>
      <c r="D40" s="173"/>
      <c r="E40" s="173"/>
      <c r="F40" s="173"/>
      <c r="G40" s="173"/>
      <c r="H40" s="173"/>
    </row>
    <row r="41" spans="1:8" ht="15">
      <c r="A41" s="173"/>
      <c r="B41" s="173"/>
      <c r="C41" s="173"/>
      <c r="D41" s="173"/>
      <c r="E41" s="173"/>
      <c r="F41" s="173"/>
      <c r="G41" s="173"/>
      <c r="H41" s="173"/>
    </row>
    <row r="42" spans="1:8" ht="15">
      <c r="A42" s="173"/>
      <c r="B42" s="173"/>
      <c r="C42" s="173"/>
      <c r="D42" s="173"/>
      <c r="E42" s="173"/>
      <c r="F42" s="173"/>
      <c r="G42" s="173"/>
      <c r="H42" s="173"/>
    </row>
    <row r="43" spans="1:8" ht="15">
      <c r="A43" s="173"/>
      <c r="B43" s="173"/>
      <c r="C43" s="173"/>
      <c r="D43" s="173"/>
      <c r="E43" s="173"/>
      <c r="F43" s="173"/>
      <c r="G43" s="173"/>
      <c r="H43" s="173"/>
    </row>
    <row r="44" spans="1:8" ht="15">
      <c r="A44" s="173"/>
      <c r="B44" s="173"/>
      <c r="C44" s="173"/>
      <c r="D44" s="173"/>
      <c r="E44" s="173"/>
      <c r="F44" s="173"/>
      <c r="G44" s="173"/>
      <c r="H44" s="173"/>
    </row>
    <row r="45" spans="1:8" ht="15">
      <c r="A45" s="173"/>
      <c r="B45" s="173"/>
      <c r="C45" s="173"/>
      <c r="D45" s="173"/>
      <c r="E45" s="173"/>
      <c r="F45" s="173"/>
      <c r="G45" s="173"/>
      <c r="H45" s="173"/>
    </row>
    <row r="46" spans="1:8" ht="15">
      <c r="A46" s="173"/>
      <c r="B46" s="173"/>
      <c r="C46" s="173"/>
      <c r="D46" s="173"/>
      <c r="E46" s="173"/>
      <c r="F46" s="173"/>
      <c r="G46" s="173"/>
      <c r="H46" s="173"/>
    </row>
    <row r="47" spans="1:8" ht="15">
      <c r="A47" s="173"/>
      <c r="B47" s="173"/>
      <c r="C47" s="173"/>
      <c r="D47" s="173"/>
      <c r="E47" s="173"/>
      <c r="F47" s="173"/>
      <c r="G47" s="173"/>
      <c r="H47" s="173"/>
    </row>
    <row r="49" spans="1:5" ht="15">
      <c r="A49" s="174" t="s">
        <v>208</v>
      </c>
      <c r="B49" s="174"/>
      <c r="C49" s="174"/>
      <c r="D49" s="174"/>
      <c r="E49" s="174"/>
    </row>
  </sheetData>
  <sheetProtection password="DC55" sheet="1" objects="1" scenarios="1" formatCells="0" formatColumns="0" formatRows="0" insertColumns="0" insertRows="0" insertHyperlinks="0" deleteColumns="0" deleteRows="0" selectLockedCells="1" sort="0"/>
  <mergeCells count="3">
    <mergeCell ref="A34:H47"/>
    <mergeCell ref="A49:E49"/>
    <mergeCell ref="A1:E4"/>
  </mergeCells>
  <printOptions horizontalCentered="1"/>
  <pageMargins left="0.7" right="0.7" top="0.75" bottom="0.75" header="0.3" footer="0.3"/>
  <pageSetup fitToHeight="1" fitToWidth="1" horizontalDpi="600" verticalDpi="600" orientation="landscape" scale="70" r:id="rId2"/>
  <headerFooter>
    <oddHeader>&amp;C&amp;"-,Bold"&amp;24&amp;UProject Victories Project Selection Tool</oddHeader>
    <oddFooter>&amp;CCopyright The Volpe Consortium, Inc.</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9">
      <selection activeCell="A2" sqref="A2"/>
    </sheetView>
  </sheetViews>
  <sheetFormatPr defaultColWidth="9.140625" defaultRowHeight="15"/>
  <cols>
    <col min="1" max="1" width="28.00390625" style="0" customWidth="1"/>
    <col min="2" max="13" width="14.28125" style="0" bestFit="1" customWidth="1"/>
    <col min="14" max="14" width="15.28125" style="0" bestFit="1" customWidth="1"/>
  </cols>
  <sheetData>
    <row r="1" spans="1:15" ht="15">
      <c r="A1" s="62"/>
      <c r="B1" s="100" t="s">
        <v>15</v>
      </c>
      <c r="C1" s="100" t="s">
        <v>35</v>
      </c>
      <c r="D1" s="100" t="s">
        <v>54</v>
      </c>
      <c r="E1" s="114"/>
      <c r="F1" s="114"/>
      <c r="G1" s="114"/>
      <c r="H1" s="114"/>
      <c r="I1" s="114"/>
      <c r="J1" s="114"/>
      <c r="K1" s="114"/>
      <c r="L1" s="114"/>
      <c r="M1" s="114"/>
      <c r="N1" s="115"/>
      <c r="O1" s="110"/>
    </row>
    <row r="2" spans="1:15" ht="15">
      <c r="A2" s="132" t="s">
        <v>201</v>
      </c>
      <c r="B2" s="135">
        <f>Calcs!E22</f>
        <v>11.504463131543012</v>
      </c>
      <c r="C2" s="135">
        <f>Calcs!F22</f>
        <v>4.995536868456988</v>
      </c>
      <c r="D2" s="111">
        <f>B2+C2</f>
        <v>16.5</v>
      </c>
      <c r="E2" s="73"/>
      <c r="F2" s="73"/>
      <c r="G2" s="73"/>
      <c r="H2" s="73"/>
      <c r="I2" s="73"/>
      <c r="J2" s="73"/>
      <c r="K2" s="73"/>
      <c r="L2" s="73"/>
      <c r="M2" s="73"/>
      <c r="N2" s="74"/>
      <c r="O2" s="110"/>
    </row>
    <row r="3" spans="1:15" ht="15">
      <c r="A3" s="132" t="s">
        <v>202</v>
      </c>
      <c r="B3" s="135">
        <f>Calcs!E23</f>
        <v>138</v>
      </c>
      <c r="C3" s="135">
        <f>Calcs!F23</f>
        <v>60</v>
      </c>
      <c r="D3" s="111">
        <f>SUM(B3:C3)</f>
        <v>198</v>
      </c>
      <c r="E3" s="73"/>
      <c r="F3" s="73"/>
      <c r="G3" s="73"/>
      <c r="H3" s="73"/>
      <c r="I3" s="73"/>
      <c r="J3" s="73"/>
      <c r="K3" s="73"/>
      <c r="L3" s="73"/>
      <c r="M3" s="73"/>
      <c r="N3" s="74"/>
      <c r="O3" s="110"/>
    </row>
    <row r="4" spans="1:15" ht="15">
      <c r="A4" s="132" t="s">
        <v>203</v>
      </c>
      <c r="B4" s="140">
        <v>9</v>
      </c>
      <c r="C4" s="140">
        <v>9</v>
      </c>
      <c r="D4" s="140">
        <v>9</v>
      </c>
      <c r="E4" s="140">
        <v>10</v>
      </c>
      <c r="F4" s="140">
        <v>10</v>
      </c>
      <c r="G4" s="140">
        <v>10</v>
      </c>
      <c r="H4" s="140">
        <v>11</v>
      </c>
      <c r="I4" s="140">
        <v>11</v>
      </c>
      <c r="J4" s="140">
        <v>11</v>
      </c>
      <c r="K4" s="140">
        <v>11</v>
      </c>
      <c r="L4" s="140">
        <v>12</v>
      </c>
      <c r="M4" s="140">
        <v>12</v>
      </c>
      <c r="N4" s="74"/>
      <c r="O4" s="110"/>
    </row>
    <row r="5" spans="1:14" ht="15">
      <c r="A5" s="132" t="s">
        <v>204</v>
      </c>
      <c r="B5" s="136">
        <f>'FY 4 Best'!M5*1.03</f>
        <v>20130.43033696907</v>
      </c>
      <c r="C5" s="136">
        <f>B5*1.03</f>
        <v>20734.343247078144</v>
      </c>
      <c r="D5" s="136">
        <f aca="true" t="shared" si="0" ref="D5:M5">C5*1.03</f>
        <v>21356.37354449049</v>
      </c>
      <c r="E5" s="136">
        <f t="shared" si="0"/>
        <v>21997.064750825204</v>
      </c>
      <c r="F5" s="136">
        <f t="shared" si="0"/>
        <v>22656.97669334996</v>
      </c>
      <c r="G5" s="136">
        <f t="shared" si="0"/>
        <v>23336.68599415046</v>
      </c>
      <c r="H5" s="136">
        <f t="shared" si="0"/>
        <v>24036.786573974972</v>
      </c>
      <c r="I5" s="136">
        <f t="shared" si="0"/>
        <v>24757.890171194224</v>
      </c>
      <c r="J5" s="136">
        <f t="shared" si="0"/>
        <v>25500.62687633005</v>
      </c>
      <c r="K5" s="136">
        <f t="shared" si="0"/>
        <v>26265.645682619954</v>
      </c>
      <c r="L5" s="136">
        <f t="shared" si="0"/>
        <v>27053.615053098554</v>
      </c>
      <c r="M5" s="136">
        <f t="shared" si="0"/>
        <v>27865.223504691512</v>
      </c>
      <c r="N5" s="116">
        <f>SUM(B5:M5)</f>
        <v>285691.6624287726</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3985825.2067198763</v>
      </c>
      <c r="C7" s="30">
        <f aca="true" t="shared" si="1" ref="C7:M7">C5*$D$3</f>
        <v>4105399.9629214727</v>
      </c>
      <c r="D7" s="30">
        <f t="shared" si="1"/>
        <v>4228561.961809116</v>
      </c>
      <c r="E7" s="30">
        <f t="shared" si="1"/>
        <v>4355418.820663391</v>
      </c>
      <c r="F7" s="30">
        <f t="shared" si="1"/>
        <v>4486081.385283292</v>
      </c>
      <c r="G7" s="30">
        <f t="shared" si="1"/>
        <v>4620663.826841791</v>
      </c>
      <c r="H7" s="30">
        <f t="shared" si="1"/>
        <v>4759283.741647044</v>
      </c>
      <c r="I7" s="30">
        <f t="shared" si="1"/>
        <v>4902062.253896456</v>
      </c>
      <c r="J7" s="30">
        <f t="shared" si="1"/>
        <v>5049124.12151335</v>
      </c>
      <c r="K7" s="30">
        <f t="shared" si="1"/>
        <v>5200597.845158751</v>
      </c>
      <c r="L7" s="30">
        <f t="shared" si="1"/>
        <v>5356615.780513514</v>
      </c>
      <c r="M7" s="30">
        <f t="shared" si="1"/>
        <v>5517314.253928919</v>
      </c>
      <c r="N7" s="31">
        <f>SUM(B7:M7)</f>
        <v>56566949.16089698</v>
      </c>
    </row>
    <row r="8" spans="1:14" ht="15">
      <c r="A8" s="122"/>
      <c r="B8" s="35"/>
      <c r="C8" s="35"/>
      <c r="D8" s="35"/>
      <c r="E8" s="35"/>
      <c r="F8" s="35"/>
      <c r="G8" s="35"/>
      <c r="H8" s="35"/>
      <c r="I8" s="35"/>
      <c r="J8" s="35"/>
      <c r="K8" s="35"/>
      <c r="L8" s="35"/>
      <c r="M8" s="35"/>
      <c r="N8" s="36"/>
    </row>
    <row r="9" spans="1:14" ht="15">
      <c r="A9" s="132" t="s">
        <v>56</v>
      </c>
      <c r="B9" s="21">
        <f>B5*$B$3</f>
        <v>2777999.386501732</v>
      </c>
      <c r="C9" s="21">
        <f aca="true" t="shared" si="2" ref="C9:M9">C5*$B$3</f>
        <v>2861339.3680967838</v>
      </c>
      <c r="D9" s="21">
        <f t="shared" si="2"/>
        <v>2947179.5491396873</v>
      </c>
      <c r="E9" s="21">
        <f t="shared" si="2"/>
        <v>3035594.935613878</v>
      </c>
      <c r="F9" s="21">
        <f t="shared" si="2"/>
        <v>3126662.783682294</v>
      </c>
      <c r="G9" s="21">
        <f t="shared" si="2"/>
        <v>3220462.667192763</v>
      </c>
      <c r="H9" s="21">
        <f t="shared" si="2"/>
        <v>3317076.547208546</v>
      </c>
      <c r="I9" s="21">
        <f t="shared" si="2"/>
        <v>3416588.843624803</v>
      </c>
      <c r="J9" s="21">
        <f t="shared" si="2"/>
        <v>3519086.508933547</v>
      </c>
      <c r="K9" s="21">
        <f t="shared" si="2"/>
        <v>3624659.1042015534</v>
      </c>
      <c r="L9" s="21">
        <f t="shared" si="2"/>
        <v>3733398.8773276005</v>
      </c>
      <c r="M9" s="21">
        <f t="shared" si="2"/>
        <v>3845400.843647429</v>
      </c>
      <c r="N9" s="31">
        <f>SUM(B9:M9)</f>
        <v>39425449.41517062</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0</v>
      </c>
      <c r="D11" s="138">
        <v>200000</v>
      </c>
      <c r="E11" s="138">
        <v>0</v>
      </c>
      <c r="F11" s="138">
        <v>0</v>
      </c>
      <c r="G11" s="138">
        <v>0</v>
      </c>
      <c r="H11" s="138">
        <v>200000</v>
      </c>
      <c r="I11" s="138">
        <v>0</v>
      </c>
      <c r="J11" s="138">
        <v>0</v>
      </c>
      <c r="K11" s="138">
        <v>0</v>
      </c>
      <c r="L11" s="138">
        <v>0</v>
      </c>
      <c r="M11" s="138">
        <v>0</v>
      </c>
      <c r="N11" s="31">
        <f aca="true" t="shared" si="3" ref="N11:N32">SUM(B11:M11)</f>
        <v>400000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31">
        <f t="shared" si="3"/>
        <v>0</v>
      </c>
    </row>
    <row r="15" spans="1:14" ht="15">
      <c r="A15" s="132" t="s">
        <v>189</v>
      </c>
      <c r="B15" s="138">
        <v>40725</v>
      </c>
      <c r="C15" s="138">
        <v>40725</v>
      </c>
      <c r="D15" s="138">
        <v>40725</v>
      </c>
      <c r="E15" s="138">
        <v>45250</v>
      </c>
      <c r="F15" s="138">
        <v>45250</v>
      </c>
      <c r="G15" s="138">
        <v>45250</v>
      </c>
      <c r="H15" s="138">
        <v>49775</v>
      </c>
      <c r="I15" s="138">
        <v>49775</v>
      </c>
      <c r="J15" s="138">
        <v>49775</v>
      </c>
      <c r="K15" s="138">
        <v>49775</v>
      </c>
      <c r="L15" s="138">
        <v>54300</v>
      </c>
      <c r="M15" s="138">
        <v>54300</v>
      </c>
      <c r="N15" s="31">
        <f t="shared" si="3"/>
        <v>565625</v>
      </c>
    </row>
    <row r="16" spans="1:14" ht="15">
      <c r="A16" s="132" t="s">
        <v>190</v>
      </c>
      <c r="B16" s="138">
        <v>40725</v>
      </c>
      <c r="C16" s="138">
        <v>40725</v>
      </c>
      <c r="D16" s="138">
        <v>40725</v>
      </c>
      <c r="E16" s="138">
        <v>40725</v>
      </c>
      <c r="F16" s="138">
        <v>45250</v>
      </c>
      <c r="G16" s="138">
        <v>45250</v>
      </c>
      <c r="H16" s="138">
        <v>45250</v>
      </c>
      <c r="I16" s="138">
        <v>49775</v>
      </c>
      <c r="J16" s="138">
        <v>49775</v>
      </c>
      <c r="K16" s="138">
        <v>49775</v>
      </c>
      <c r="L16" s="138">
        <v>54300</v>
      </c>
      <c r="M16" s="138">
        <v>54300</v>
      </c>
      <c r="N16" s="31">
        <f t="shared" si="3"/>
        <v>556575</v>
      </c>
    </row>
    <row r="17" spans="1:14" ht="15">
      <c r="A17" s="132" t="s">
        <v>191</v>
      </c>
      <c r="B17" s="138">
        <v>36200</v>
      </c>
      <c r="C17" s="138">
        <v>40725</v>
      </c>
      <c r="D17" s="138">
        <v>40725</v>
      </c>
      <c r="E17" s="138">
        <v>40725</v>
      </c>
      <c r="F17" s="138">
        <v>40725</v>
      </c>
      <c r="G17" s="138">
        <v>45250</v>
      </c>
      <c r="H17" s="138">
        <v>45250</v>
      </c>
      <c r="I17" s="138">
        <v>45250</v>
      </c>
      <c r="J17" s="138">
        <v>49775</v>
      </c>
      <c r="K17" s="138">
        <v>49775</v>
      </c>
      <c r="L17" s="138">
        <v>49775</v>
      </c>
      <c r="M17" s="138">
        <v>54300</v>
      </c>
      <c r="N17" s="31">
        <f t="shared" si="3"/>
        <v>538475</v>
      </c>
    </row>
    <row r="18" spans="1:14" ht="15">
      <c r="A18" s="132" t="s">
        <v>192</v>
      </c>
      <c r="B18" s="138">
        <v>36200</v>
      </c>
      <c r="C18" s="138">
        <v>36200</v>
      </c>
      <c r="D18" s="138">
        <v>40725</v>
      </c>
      <c r="E18" s="138">
        <v>40725</v>
      </c>
      <c r="F18" s="138">
        <v>40725</v>
      </c>
      <c r="G18" s="138">
        <v>40725</v>
      </c>
      <c r="H18" s="138">
        <v>45250</v>
      </c>
      <c r="I18" s="138">
        <v>45250</v>
      </c>
      <c r="J18" s="138">
        <v>45250</v>
      </c>
      <c r="K18" s="138">
        <v>49775</v>
      </c>
      <c r="L18" s="138">
        <v>49775</v>
      </c>
      <c r="M18" s="138">
        <v>49775</v>
      </c>
      <c r="N18" s="31">
        <f t="shared" si="3"/>
        <v>520375</v>
      </c>
    </row>
    <row r="19" spans="1:14" ht="15">
      <c r="A19" s="132" t="s">
        <v>194</v>
      </c>
      <c r="B19" s="138">
        <v>8800</v>
      </c>
      <c r="C19" s="138">
        <v>8800</v>
      </c>
      <c r="D19" s="138">
        <v>8800</v>
      </c>
      <c r="E19" s="138">
        <v>8800</v>
      </c>
      <c r="F19" s="138">
        <v>8800</v>
      </c>
      <c r="G19" s="138">
        <v>8800</v>
      </c>
      <c r="H19" s="138">
        <v>8800</v>
      </c>
      <c r="I19" s="138">
        <v>8800</v>
      </c>
      <c r="J19" s="138">
        <v>8800</v>
      </c>
      <c r="K19" s="138">
        <v>8800</v>
      </c>
      <c r="L19" s="138">
        <v>8800</v>
      </c>
      <c r="M19" s="138">
        <v>8800</v>
      </c>
      <c r="N19" s="57">
        <f>SUM(B19:M19)</f>
        <v>105600</v>
      </c>
    </row>
    <row r="20" spans="1:14" ht="15">
      <c r="A20" s="132" t="s">
        <v>193</v>
      </c>
      <c r="B20" s="138">
        <v>8800</v>
      </c>
      <c r="C20" s="138">
        <v>8800</v>
      </c>
      <c r="D20" s="138">
        <v>8800</v>
      </c>
      <c r="E20" s="138">
        <v>8800</v>
      </c>
      <c r="F20" s="138">
        <v>8800</v>
      </c>
      <c r="G20" s="138">
        <v>8800</v>
      </c>
      <c r="H20" s="138">
        <v>8800</v>
      </c>
      <c r="I20" s="138">
        <v>8800</v>
      </c>
      <c r="J20" s="138">
        <v>8800</v>
      </c>
      <c r="K20" s="138">
        <v>8800</v>
      </c>
      <c r="L20" s="138">
        <v>8800</v>
      </c>
      <c r="M20" s="138">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31">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31">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31">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31">
        <f t="shared" si="3"/>
        <v>72000</v>
      </c>
    </row>
    <row r="27" spans="1:14" ht="15">
      <c r="A27" s="132" t="s">
        <v>46</v>
      </c>
      <c r="B27" s="138">
        <f>(B4*300*30*0.007469)*2+1000</f>
        <v>2209.978</v>
      </c>
      <c r="C27" s="138">
        <f aca="true" t="shared" si="4" ref="C27:M27">(C4*300*30*0.007469)*2+1000</f>
        <v>2209.978</v>
      </c>
      <c r="D27" s="138">
        <f t="shared" si="4"/>
        <v>2209.978</v>
      </c>
      <c r="E27" s="138">
        <f t="shared" si="4"/>
        <v>2344.42</v>
      </c>
      <c r="F27" s="138">
        <f t="shared" si="4"/>
        <v>2344.42</v>
      </c>
      <c r="G27" s="138">
        <f t="shared" si="4"/>
        <v>2344.42</v>
      </c>
      <c r="H27" s="138">
        <f t="shared" si="4"/>
        <v>2478.862</v>
      </c>
      <c r="I27" s="138">
        <f t="shared" si="4"/>
        <v>2478.862</v>
      </c>
      <c r="J27" s="138">
        <f t="shared" si="4"/>
        <v>2478.862</v>
      </c>
      <c r="K27" s="138">
        <f t="shared" si="4"/>
        <v>2478.862</v>
      </c>
      <c r="L27" s="138">
        <f t="shared" si="4"/>
        <v>2613.304</v>
      </c>
      <c r="M27" s="138">
        <f t="shared" si="4"/>
        <v>2613.304</v>
      </c>
      <c r="N27" s="31">
        <f t="shared" si="3"/>
        <v>28805.250000000004</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SUM(B28:M28)</f>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31">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SUM(B30:M30)</f>
        <v>20004</v>
      </c>
    </row>
    <row r="31" spans="1:14" ht="15">
      <c r="A31" s="132" t="s">
        <v>198</v>
      </c>
      <c r="B31" s="138">
        <v>17382.89</v>
      </c>
      <c r="C31" s="138">
        <v>17382.89</v>
      </c>
      <c r="D31" s="138">
        <v>17382.89</v>
      </c>
      <c r="E31" s="138">
        <v>17382.89</v>
      </c>
      <c r="F31" s="138">
        <v>17382.89</v>
      </c>
      <c r="G31" s="138">
        <v>17382.89</v>
      </c>
      <c r="H31" s="138">
        <v>17382.89</v>
      </c>
      <c r="I31" s="138">
        <v>17382.89</v>
      </c>
      <c r="J31" s="138">
        <v>17382.89</v>
      </c>
      <c r="K31" s="138">
        <v>17382.89</v>
      </c>
      <c r="L31" s="138">
        <v>17382.89</v>
      </c>
      <c r="M31" s="138">
        <v>17382.89</v>
      </c>
      <c r="N31" s="31">
        <f t="shared" si="3"/>
        <v>208594.68000000005</v>
      </c>
    </row>
    <row r="32" spans="1:14" ht="15">
      <c r="A32" s="133" t="s">
        <v>59</v>
      </c>
      <c r="B32" s="138">
        <f>3400+(1*(B5-10882.89)/2)+5441.445</f>
        <v>13465.215168484536</v>
      </c>
      <c r="C32" s="138">
        <f aca="true" t="shared" si="5" ref="C32:M32">3400+(1*(C5-10882.89)/2)+5441.445</f>
        <v>13767.171623539072</v>
      </c>
      <c r="D32" s="138">
        <f t="shared" si="5"/>
        <v>14078.186772245244</v>
      </c>
      <c r="E32" s="138">
        <f t="shared" si="5"/>
        <v>14398.532375412602</v>
      </c>
      <c r="F32" s="138">
        <f t="shared" si="5"/>
        <v>14728.48834667498</v>
      </c>
      <c r="G32" s="138">
        <f t="shared" si="5"/>
        <v>15068.34299707523</v>
      </c>
      <c r="H32" s="138">
        <f t="shared" si="5"/>
        <v>15418.393286987486</v>
      </c>
      <c r="I32" s="138">
        <f t="shared" si="5"/>
        <v>15778.945085597112</v>
      </c>
      <c r="J32" s="138">
        <f t="shared" si="5"/>
        <v>16150.313438165025</v>
      </c>
      <c r="K32" s="138">
        <f t="shared" si="5"/>
        <v>16532.82284130998</v>
      </c>
      <c r="L32" s="138">
        <f t="shared" si="5"/>
        <v>16926.807526549277</v>
      </c>
      <c r="M32" s="138">
        <f t="shared" si="5"/>
        <v>17332.611752345758</v>
      </c>
      <c r="N32" s="37">
        <f t="shared" si="3"/>
        <v>183645.83121438627</v>
      </c>
    </row>
    <row r="33" spans="1:14" ht="15.75" thickBot="1">
      <c r="A33" s="133" t="s">
        <v>58</v>
      </c>
      <c r="B33" s="138">
        <f>3400+(1*(B5-10882.89)/2)</f>
        <v>8023.770168484536</v>
      </c>
      <c r="C33" s="138">
        <f aca="true" t="shared" si="6" ref="C33:M33">3400+(1*(C5-10882.89)/2)</f>
        <v>8325.726623539073</v>
      </c>
      <c r="D33" s="138">
        <f t="shared" si="6"/>
        <v>8636.741772245245</v>
      </c>
      <c r="E33" s="138">
        <f t="shared" si="6"/>
        <v>8957.087375412602</v>
      </c>
      <c r="F33" s="138">
        <f t="shared" si="6"/>
        <v>9287.04334667498</v>
      </c>
      <c r="G33" s="138">
        <f t="shared" si="6"/>
        <v>9626.89799707523</v>
      </c>
      <c r="H33" s="138">
        <f t="shared" si="6"/>
        <v>9976.948286987486</v>
      </c>
      <c r="I33" s="138">
        <f t="shared" si="6"/>
        <v>10337.500085597112</v>
      </c>
      <c r="J33" s="138">
        <f t="shared" si="6"/>
        <v>10708.868438165026</v>
      </c>
      <c r="K33" s="138">
        <f t="shared" si="6"/>
        <v>11091.377841309977</v>
      </c>
      <c r="L33" s="138">
        <f t="shared" si="6"/>
        <v>11485.362526549277</v>
      </c>
      <c r="M33" s="138">
        <f t="shared" si="6"/>
        <v>11891.166752345756</v>
      </c>
      <c r="N33" s="34">
        <f>SUM(B33:M33)</f>
        <v>118348.49121438629</v>
      </c>
    </row>
    <row r="34" spans="1:14" ht="15.75" thickBot="1">
      <c r="A34" s="134" t="s">
        <v>94</v>
      </c>
      <c r="B34" s="22">
        <f aca="true" t="shared" si="7" ref="B34:M34">B7-SUM(B9:B33)</f>
        <v>876626.9668811751</v>
      </c>
      <c r="C34" s="22">
        <f t="shared" si="7"/>
        <v>907732.8285776107</v>
      </c>
      <c r="D34" s="22">
        <f t="shared" si="7"/>
        <v>739907.6161249382</v>
      </c>
      <c r="E34" s="22">
        <f t="shared" si="7"/>
        <v>973048.9552986873</v>
      </c>
      <c r="F34" s="22">
        <f t="shared" si="7"/>
        <v>1007458.759907648</v>
      </c>
      <c r="G34" s="22">
        <f t="shared" si="7"/>
        <v>1043036.6086548776</v>
      </c>
      <c r="H34" s="22">
        <f t="shared" si="7"/>
        <v>875158.1008645226</v>
      </c>
      <c r="I34" s="22">
        <f t="shared" si="7"/>
        <v>1113178.213100459</v>
      </c>
      <c r="J34" s="22">
        <f t="shared" si="7"/>
        <v>1152474.6787034725</v>
      </c>
      <c r="K34" s="22">
        <f t="shared" si="7"/>
        <v>1193085.7882745774</v>
      </c>
      <c r="L34" s="22">
        <f t="shared" si="7"/>
        <v>1230391.5391328144</v>
      </c>
      <c r="M34" s="22">
        <f t="shared" si="7"/>
        <v>1273751.4377767984</v>
      </c>
      <c r="N34" s="23">
        <f>SUM(B34:M34)</f>
        <v>12385851.49329758</v>
      </c>
    </row>
    <row r="37" spans="1:14" ht="15">
      <c r="A37" s="173" t="s">
        <v>211</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6">
      <selection activeCell="A2" sqref="A2"/>
    </sheetView>
  </sheetViews>
  <sheetFormatPr defaultColWidth="9.140625" defaultRowHeight="15"/>
  <cols>
    <col min="1" max="1" width="27.8515625" style="0" customWidth="1"/>
    <col min="2" max="4" width="13.421875" style="0" bestFit="1" customWidth="1"/>
    <col min="5" max="9" width="13.421875" style="0" customWidth="1"/>
    <col min="10" max="12" width="12.57421875" style="0" customWidth="1"/>
    <col min="13" max="14" width="14.28125" style="0" customWidth="1"/>
    <col min="15" max="15" width="12.5742187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36">
        <f>B5/600</f>
        <v>0</v>
      </c>
      <c r="C4" s="136">
        <f>C5/600</f>
        <v>0</v>
      </c>
      <c r="D4" s="136">
        <f>D5/600</f>
        <v>0</v>
      </c>
      <c r="E4" s="136">
        <f>E5/600</f>
        <v>0</v>
      </c>
      <c r="F4" s="136">
        <f>F5/600</f>
        <v>0</v>
      </c>
      <c r="G4" s="140">
        <v>0</v>
      </c>
      <c r="H4" s="140">
        <v>0</v>
      </c>
      <c r="I4" s="140">
        <v>0</v>
      </c>
      <c r="J4" s="140">
        <v>0</v>
      </c>
      <c r="K4" s="140">
        <v>0</v>
      </c>
      <c r="L4" s="140">
        <v>0</v>
      </c>
      <c r="M4" s="140">
        <v>0</v>
      </c>
      <c r="N4" s="74"/>
    </row>
    <row r="5" spans="1:14" ht="15">
      <c r="A5" s="132" t="s">
        <v>204</v>
      </c>
      <c r="B5" s="136">
        <v>0</v>
      </c>
      <c r="C5" s="136">
        <v>0</v>
      </c>
      <c r="D5" s="136">
        <v>0</v>
      </c>
      <c r="E5" s="136">
        <v>0</v>
      </c>
      <c r="F5" s="136">
        <v>0</v>
      </c>
      <c r="G5" s="136">
        <v>0</v>
      </c>
      <c r="H5" s="136">
        <v>0</v>
      </c>
      <c r="I5" s="136">
        <v>0</v>
      </c>
      <c r="J5" s="136">
        <v>0</v>
      </c>
      <c r="K5" s="136">
        <v>0</v>
      </c>
      <c r="L5" s="136">
        <v>0</v>
      </c>
      <c r="M5" s="136">
        <v>0</v>
      </c>
      <c r="N5" s="116">
        <f>SUM(B5:M5)</f>
        <v>0</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5" ht="15">
      <c r="A7" s="132" t="s">
        <v>55</v>
      </c>
      <c r="B7" s="21">
        <f>B5*$D$3</f>
        <v>0</v>
      </c>
      <c r="C7" s="21">
        <f aca="true" t="shared" si="0" ref="C7:M7">C5*$D$3</f>
        <v>0</v>
      </c>
      <c r="D7" s="21">
        <f t="shared" si="0"/>
        <v>0</v>
      </c>
      <c r="E7" s="21">
        <f t="shared" si="0"/>
        <v>0</v>
      </c>
      <c r="F7" s="21">
        <f t="shared" si="0"/>
        <v>0</v>
      </c>
      <c r="G7" s="21">
        <f t="shared" si="0"/>
        <v>0</v>
      </c>
      <c r="H7" s="21">
        <f t="shared" si="0"/>
        <v>0</v>
      </c>
      <c r="I7" s="21">
        <f t="shared" si="0"/>
        <v>0</v>
      </c>
      <c r="J7" s="21">
        <f t="shared" si="0"/>
        <v>0</v>
      </c>
      <c r="K7" s="21">
        <f t="shared" si="0"/>
        <v>0</v>
      </c>
      <c r="L7" s="21">
        <f t="shared" si="0"/>
        <v>0</v>
      </c>
      <c r="M7" s="21">
        <f t="shared" si="0"/>
        <v>0</v>
      </c>
      <c r="N7" s="57">
        <f>SUM(B7:M7)</f>
        <v>0</v>
      </c>
      <c r="O7" s="2"/>
    </row>
    <row r="8" spans="1:14" ht="15">
      <c r="A8" s="122"/>
      <c r="B8" s="113"/>
      <c r="C8" s="113"/>
      <c r="D8" s="113"/>
      <c r="E8" s="113"/>
      <c r="F8" s="113"/>
      <c r="G8" s="113"/>
      <c r="H8" s="113"/>
      <c r="I8" s="113"/>
      <c r="J8" s="113"/>
      <c r="K8" s="113"/>
      <c r="L8" s="113"/>
      <c r="M8" s="113"/>
      <c r="N8" s="117"/>
    </row>
    <row r="9" spans="1:14" ht="15">
      <c r="A9" s="132" t="s">
        <v>56</v>
      </c>
      <c r="B9" s="21">
        <f>B5*$B$3</f>
        <v>0</v>
      </c>
      <c r="C9" s="21">
        <f aca="true" t="shared" si="1" ref="C9:M9">C5*$B$3</f>
        <v>0</v>
      </c>
      <c r="D9" s="21">
        <f t="shared" si="1"/>
        <v>0</v>
      </c>
      <c r="E9" s="21">
        <f t="shared" si="1"/>
        <v>0</v>
      </c>
      <c r="F9" s="21">
        <f t="shared" si="1"/>
        <v>0</v>
      </c>
      <c r="G9" s="21">
        <f t="shared" si="1"/>
        <v>0</v>
      </c>
      <c r="H9" s="21">
        <f t="shared" si="1"/>
        <v>0</v>
      </c>
      <c r="I9" s="21">
        <f t="shared" si="1"/>
        <v>0</v>
      </c>
      <c r="J9" s="21">
        <f t="shared" si="1"/>
        <v>0</v>
      </c>
      <c r="K9" s="21">
        <f t="shared" si="1"/>
        <v>0</v>
      </c>
      <c r="L9" s="21">
        <f t="shared" si="1"/>
        <v>0</v>
      </c>
      <c r="M9" s="21">
        <f t="shared" si="1"/>
        <v>0</v>
      </c>
      <c r="N9" s="57">
        <f>SUM(B9:M9)</f>
        <v>0</v>
      </c>
    </row>
    <row r="10" spans="1:14" ht="15">
      <c r="A10" s="132" t="s">
        <v>199</v>
      </c>
      <c r="B10" s="138">
        <v>25000</v>
      </c>
      <c r="C10" s="138"/>
      <c r="D10" s="138"/>
      <c r="E10" s="138"/>
      <c r="F10" s="138"/>
      <c r="G10" s="138"/>
      <c r="H10" s="138"/>
      <c r="I10" s="138"/>
      <c r="J10" s="138"/>
      <c r="K10" s="138"/>
      <c r="L10" s="138"/>
      <c r="M10" s="138"/>
      <c r="N10" s="57">
        <f>SUM(B10:M10)</f>
        <v>25000</v>
      </c>
    </row>
    <row r="11" spans="1:14" ht="15">
      <c r="A11" s="132" t="s">
        <v>188</v>
      </c>
      <c r="B11" s="138">
        <v>0</v>
      </c>
      <c r="C11" s="138">
        <v>0</v>
      </c>
      <c r="D11" s="138">
        <v>0</v>
      </c>
      <c r="E11" s="138">
        <v>0</v>
      </c>
      <c r="F11" s="138">
        <v>0</v>
      </c>
      <c r="G11" s="138">
        <v>0</v>
      </c>
      <c r="H11" s="138">
        <v>0</v>
      </c>
      <c r="I11" s="138">
        <v>0</v>
      </c>
      <c r="J11" s="138">
        <v>0</v>
      </c>
      <c r="K11" s="138">
        <v>0</v>
      </c>
      <c r="L11" s="138">
        <v>0</v>
      </c>
      <c r="M11" s="138">
        <v>0</v>
      </c>
      <c r="N11" s="57">
        <f>SUM(B11:M11)</f>
        <v>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3000</v>
      </c>
      <c r="G13" s="138">
        <v>3000</v>
      </c>
      <c r="H13" s="138">
        <v>3000</v>
      </c>
      <c r="I13" s="138">
        <v>3000</v>
      </c>
      <c r="J13" s="138">
        <v>3000</v>
      </c>
      <c r="K13" s="138">
        <v>3000</v>
      </c>
      <c r="L13" s="138">
        <v>3000</v>
      </c>
      <c r="M13" s="138">
        <v>3000</v>
      </c>
      <c r="N13" s="57">
        <f>SUM(B13:M13)</f>
        <v>36000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aca="true" t="shared" si="2" ref="N14:N32">SUM(B14:M14)</f>
        <v>0</v>
      </c>
    </row>
    <row r="15" spans="1:14" ht="15">
      <c r="A15" s="132" t="s">
        <v>189</v>
      </c>
      <c r="B15" s="138">
        <v>0</v>
      </c>
      <c r="C15" s="138">
        <v>0</v>
      </c>
      <c r="D15" s="138">
        <v>0</v>
      </c>
      <c r="E15" s="138">
        <v>0</v>
      </c>
      <c r="F15" s="138">
        <v>0</v>
      </c>
      <c r="G15" s="138">
        <v>0</v>
      </c>
      <c r="H15" s="138">
        <v>0</v>
      </c>
      <c r="I15" s="138">
        <v>0</v>
      </c>
      <c r="J15" s="138">
        <v>0</v>
      </c>
      <c r="K15" s="138">
        <v>0</v>
      </c>
      <c r="L15" s="138">
        <v>0</v>
      </c>
      <c r="M15" s="138">
        <v>0</v>
      </c>
      <c r="N15" s="57">
        <f t="shared" si="2"/>
        <v>0</v>
      </c>
    </row>
    <row r="16" spans="1:14" ht="15">
      <c r="A16" s="132" t="s">
        <v>190</v>
      </c>
      <c r="B16" s="138">
        <v>0</v>
      </c>
      <c r="C16" s="138">
        <v>0</v>
      </c>
      <c r="D16" s="138">
        <v>0</v>
      </c>
      <c r="E16" s="138">
        <v>0</v>
      </c>
      <c r="F16" s="138">
        <v>0</v>
      </c>
      <c r="G16" s="138">
        <v>0</v>
      </c>
      <c r="H16" s="138">
        <v>0</v>
      </c>
      <c r="I16" s="138">
        <v>0</v>
      </c>
      <c r="J16" s="138">
        <v>0</v>
      </c>
      <c r="K16" s="138">
        <v>0</v>
      </c>
      <c r="L16" s="138">
        <v>0</v>
      </c>
      <c r="M16" s="138">
        <v>0</v>
      </c>
      <c r="N16" s="57">
        <f t="shared" si="2"/>
        <v>0</v>
      </c>
    </row>
    <row r="17" spans="1:14" ht="15">
      <c r="A17" s="132" t="s">
        <v>191</v>
      </c>
      <c r="B17" s="138">
        <v>0</v>
      </c>
      <c r="C17" s="138">
        <v>0</v>
      </c>
      <c r="D17" s="138">
        <v>0</v>
      </c>
      <c r="E17" s="138">
        <v>0</v>
      </c>
      <c r="F17" s="138">
        <v>0</v>
      </c>
      <c r="G17" s="138">
        <v>0</v>
      </c>
      <c r="H17" s="138">
        <v>0</v>
      </c>
      <c r="I17" s="138">
        <v>0</v>
      </c>
      <c r="J17" s="138">
        <v>0</v>
      </c>
      <c r="K17" s="138">
        <v>0</v>
      </c>
      <c r="L17" s="138">
        <v>0</v>
      </c>
      <c r="M17" s="138">
        <v>0</v>
      </c>
      <c r="N17" s="57">
        <f t="shared" si="2"/>
        <v>0</v>
      </c>
    </row>
    <row r="18" spans="1:14" ht="15">
      <c r="A18" s="132" t="s">
        <v>192</v>
      </c>
      <c r="B18" s="138">
        <v>0</v>
      </c>
      <c r="C18" s="138">
        <v>0</v>
      </c>
      <c r="D18" s="138">
        <v>0</v>
      </c>
      <c r="E18" s="138">
        <v>0</v>
      </c>
      <c r="F18" s="138">
        <v>0</v>
      </c>
      <c r="G18" s="138">
        <v>0</v>
      </c>
      <c r="H18" s="138">
        <v>0</v>
      </c>
      <c r="I18" s="138">
        <v>0</v>
      </c>
      <c r="J18" s="138">
        <v>0</v>
      </c>
      <c r="K18" s="138">
        <v>0</v>
      </c>
      <c r="L18" s="138">
        <v>0</v>
      </c>
      <c r="M18" s="138">
        <v>0</v>
      </c>
      <c r="N18" s="57">
        <f t="shared" si="2"/>
        <v>0</v>
      </c>
    </row>
    <row r="19" spans="1:14" ht="15">
      <c r="A19" s="132" t="s">
        <v>194</v>
      </c>
      <c r="B19" s="138">
        <v>0</v>
      </c>
      <c r="C19" s="138">
        <v>0</v>
      </c>
      <c r="D19" s="138">
        <v>0</v>
      </c>
      <c r="E19" s="138">
        <v>0</v>
      </c>
      <c r="F19" s="138">
        <v>0</v>
      </c>
      <c r="G19" s="138">
        <v>0</v>
      </c>
      <c r="H19" s="138">
        <v>0</v>
      </c>
      <c r="I19" s="138">
        <v>0</v>
      </c>
      <c r="J19" s="138">
        <v>0</v>
      </c>
      <c r="K19" s="138">
        <v>0</v>
      </c>
      <c r="L19" s="138">
        <v>0</v>
      </c>
      <c r="M19" s="138">
        <v>0</v>
      </c>
      <c r="N19" s="57">
        <f>SUM(B19:M19)</f>
        <v>0</v>
      </c>
    </row>
    <row r="20" spans="1:14" ht="15">
      <c r="A20" s="132" t="s">
        <v>193</v>
      </c>
      <c r="B20" s="138">
        <v>0</v>
      </c>
      <c r="C20" s="138">
        <v>0</v>
      </c>
      <c r="D20" s="138">
        <v>0</v>
      </c>
      <c r="E20" s="138">
        <v>0</v>
      </c>
      <c r="F20" s="138">
        <v>0</v>
      </c>
      <c r="G20" s="138">
        <v>0</v>
      </c>
      <c r="H20" s="138">
        <v>0</v>
      </c>
      <c r="I20" s="138">
        <v>0</v>
      </c>
      <c r="J20" s="138">
        <v>0</v>
      </c>
      <c r="K20" s="138">
        <v>0</v>
      </c>
      <c r="L20" s="138">
        <v>0</v>
      </c>
      <c r="M20" s="138">
        <v>0</v>
      </c>
      <c r="N20" s="57">
        <f>SUM(B20:M20)</f>
        <v>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2750</v>
      </c>
      <c r="C22" s="138">
        <v>2750</v>
      </c>
      <c r="D22" s="138">
        <v>2750</v>
      </c>
      <c r="E22" s="138">
        <v>2750</v>
      </c>
      <c r="F22" s="138">
        <v>2750</v>
      </c>
      <c r="G22" s="138">
        <v>2750</v>
      </c>
      <c r="H22" s="138">
        <v>2750</v>
      </c>
      <c r="I22" s="138">
        <v>2750</v>
      </c>
      <c r="J22" s="138">
        <v>2750</v>
      </c>
      <c r="K22" s="138">
        <v>2750</v>
      </c>
      <c r="L22" s="138">
        <v>2750</v>
      </c>
      <c r="M22" s="138">
        <v>2750</v>
      </c>
      <c r="N22" s="57">
        <f>SUM(B22:M22)</f>
        <v>33000</v>
      </c>
    </row>
    <row r="23" spans="1:14" ht="15">
      <c r="A23" s="132" t="s">
        <v>43</v>
      </c>
      <c r="B23" s="138">
        <v>0</v>
      </c>
      <c r="C23" s="138">
        <v>0</v>
      </c>
      <c r="D23" s="138">
        <v>0</v>
      </c>
      <c r="E23" s="138">
        <v>0</v>
      </c>
      <c r="F23" s="138">
        <v>0</v>
      </c>
      <c r="G23" s="138">
        <v>0</v>
      </c>
      <c r="H23" s="138">
        <v>0</v>
      </c>
      <c r="I23" s="138">
        <v>0</v>
      </c>
      <c r="J23" s="138">
        <v>0</v>
      </c>
      <c r="K23" s="138">
        <v>0</v>
      </c>
      <c r="L23" s="138">
        <v>0</v>
      </c>
      <c r="M23" s="138">
        <v>0</v>
      </c>
      <c r="N23" s="57">
        <f t="shared" si="2"/>
        <v>0</v>
      </c>
    </row>
    <row r="24" spans="1:14" ht="15">
      <c r="A24" s="132" t="s">
        <v>62</v>
      </c>
      <c r="B24" s="138">
        <v>0</v>
      </c>
      <c r="C24" s="138">
        <v>0</v>
      </c>
      <c r="D24" s="138">
        <v>0</v>
      </c>
      <c r="E24" s="138">
        <v>0</v>
      </c>
      <c r="F24" s="138">
        <v>0</v>
      </c>
      <c r="G24" s="138">
        <v>0</v>
      </c>
      <c r="H24" s="138">
        <v>0</v>
      </c>
      <c r="I24" s="138">
        <v>0</v>
      </c>
      <c r="J24" s="138">
        <v>0</v>
      </c>
      <c r="K24" s="138">
        <v>0</v>
      </c>
      <c r="L24" s="138">
        <v>0</v>
      </c>
      <c r="M24" s="138">
        <v>0</v>
      </c>
      <c r="N24" s="57">
        <f t="shared" si="2"/>
        <v>0</v>
      </c>
    </row>
    <row r="25" spans="1:14" ht="15">
      <c r="A25" s="132" t="s">
        <v>96</v>
      </c>
      <c r="B25" s="138">
        <v>3500</v>
      </c>
      <c r="C25" s="138">
        <v>3500</v>
      </c>
      <c r="D25" s="138">
        <v>3500</v>
      </c>
      <c r="E25" s="138">
        <v>3500</v>
      </c>
      <c r="F25" s="138">
        <v>3500</v>
      </c>
      <c r="G25" s="138">
        <v>3500</v>
      </c>
      <c r="H25" s="138">
        <v>3500</v>
      </c>
      <c r="I25" s="138">
        <v>3500</v>
      </c>
      <c r="J25" s="138">
        <v>3500</v>
      </c>
      <c r="K25" s="138">
        <v>3500</v>
      </c>
      <c r="L25" s="138">
        <v>3500</v>
      </c>
      <c r="M25" s="138">
        <v>3500</v>
      </c>
      <c r="N25" s="57">
        <f t="shared" si="2"/>
        <v>42000</v>
      </c>
    </row>
    <row r="26" spans="1:14" ht="15">
      <c r="A26" s="132" t="s">
        <v>45</v>
      </c>
      <c r="B26" s="138">
        <v>500</v>
      </c>
      <c r="C26" s="138">
        <v>500</v>
      </c>
      <c r="D26" s="138">
        <v>500</v>
      </c>
      <c r="E26" s="138">
        <v>500</v>
      </c>
      <c r="F26" s="138">
        <v>500</v>
      </c>
      <c r="G26" s="138">
        <v>500</v>
      </c>
      <c r="H26" s="138">
        <v>500</v>
      </c>
      <c r="I26" s="138">
        <v>500</v>
      </c>
      <c r="J26" s="138">
        <v>500</v>
      </c>
      <c r="K26" s="138">
        <v>500</v>
      </c>
      <c r="L26" s="138">
        <v>500</v>
      </c>
      <c r="M26" s="138">
        <v>500</v>
      </c>
      <c r="N26" s="57">
        <f t="shared" si="2"/>
        <v>6000</v>
      </c>
    </row>
    <row r="27" spans="1:14" ht="15">
      <c r="A27" s="132" t="s">
        <v>46</v>
      </c>
      <c r="B27" s="138">
        <v>250</v>
      </c>
      <c r="C27" s="138">
        <v>250</v>
      </c>
      <c r="D27" s="138">
        <v>250</v>
      </c>
      <c r="E27" s="138">
        <v>250</v>
      </c>
      <c r="F27" s="138">
        <v>250</v>
      </c>
      <c r="G27" s="138">
        <v>250</v>
      </c>
      <c r="H27" s="138">
        <v>250</v>
      </c>
      <c r="I27" s="138">
        <v>250</v>
      </c>
      <c r="J27" s="138">
        <v>250</v>
      </c>
      <c r="K27" s="138">
        <v>250</v>
      </c>
      <c r="L27" s="138">
        <v>250</v>
      </c>
      <c r="M27" s="138">
        <v>250</v>
      </c>
      <c r="N27" s="57">
        <f t="shared" si="2"/>
        <v>3000</v>
      </c>
    </row>
    <row r="28" spans="1:14" ht="15">
      <c r="A28" s="132" t="s">
        <v>48</v>
      </c>
      <c r="B28" s="138">
        <v>1500</v>
      </c>
      <c r="C28" s="138">
        <v>1500</v>
      </c>
      <c r="D28" s="138">
        <v>1500</v>
      </c>
      <c r="E28" s="138">
        <v>1500</v>
      </c>
      <c r="F28" s="138">
        <v>1500</v>
      </c>
      <c r="G28" s="138">
        <v>1500</v>
      </c>
      <c r="H28" s="138">
        <v>1500</v>
      </c>
      <c r="I28" s="138">
        <v>1500</v>
      </c>
      <c r="J28" s="138">
        <v>1500</v>
      </c>
      <c r="K28" s="138">
        <v>1500</v>
      </c>
      <c r="L28" s="138">
        <v>1500</v>
      </c>
      <c r="M28" s="138">
        <v>1500</v>
      </c>
      <c r="N28" s="57">
        <f t="shared" si="2"/>
        <v>18000</v>
      </c>
    </row>
    <row r="29" spans="1:14" ht="15">
      <c r="A29" s="132" t="s">
        <v>50</v>
      </c>
      <c r="B29" s="138">
        <v>0</v>
      </c>
      <c r="C29" s="138">
        <v>0</v>
      </c>
      <c r="D29" s="138">
        <v>0</v>
      </c>
      <c r="E29" s="138">
        <v>0</v>
      </c>
      <c r="F29" s="138">
        <v>0</v>
      </c>
      <c r="G29" s="138">
        <v>0</v>
      </c>
      <c r="H29" s="138">
        <v>0</v>
      </c>
      <c r="I29" s="138">
        <v>0</v>
      </c>
      <c r="J29" s="138">
        <v>0</v>
      </c>
      <c r="K29" s="138">
        <v>0</v>
      </c>
      <c r="L29" s="138">
        <v>0</v>
      </c>
      <c r="M29" s="138">
        <v>0</v>
      </c>
      <c r="N29" s="57">
        <f t="shared" si="2"/>
        <v>0</v>
      </c>
    </row>
    <row r="30" spans="1:14" ht="15">
      <c r="A30" s="132" t="s">
        <v>195</v>
      </c>
      <c r="B30" s="138">
        <v>0</v>
      </c>
      <c r="C30" s="138">
        <v>0</v>
      </c>
      <c r="D30" s="138">
        <v>0</v>
      </c>
      <c r="E30" s="138">
        <v>0</v>
      </c>
      <c r="F30" s="138">
        <v>0</v>
      </c>
      <c r="G30" s="138">
        <v>0</v>
      </c>
      <c r="H30" s="138">
        <v>0</v>
      </c>
      <c r="I30" s="138">
        <v>0</v>
      </c>
      <c r="J30" s="138">
        <v>0</v>
      </c>
      <c r="K30" s="138">
        <v>0</v>
      </c>
      <c r="L30" s="138">
        <v>0</v>
      </c>
      <c r="M30" s="138">
        <v>0</v>
      </c>
      <c r="N30" s="57">
        <f t="shared" si="2"/>
        <v>0</v>
      </c>
    </row>
    <row r="31" spans="1:14" ht="15">
      <c r="A31" s="132" t="s">
        <v>198</v>
      </c>
      <c r="B31" s="138">
        <v>0</v>
      </c>
      <c r="C31" s="138">
        <v>0</v>
      </c>
      <c r="D31" s="138">
        <v>0</v>
      </c>
      <c r="E31" s="138">
        <v>0</v>
      </c>
      <c r="F31" s="138">
        <v>0</v>
      </c>
      <c r="G31" s="138">
        <v>0</v>
      </c>
      <c r="H31" s="138">
        <v>0</v>
      </c>
      <c r="I31" s="138">
        <v>0</v>
      </c>
      <c r="J31" s="138">
        <v>0</v>
      </c>
      <c r="K31" s="138">
        <v>0</v>
      </c>
      <c r="L31" s="138">
        <v>0</v>
      </c>
      <c r="M31" s="138">
        <v>0</v>
      </c>
      <c r="N31" s="57">
        <f t="shared" si="2"/>
        <v>0</v>
      </c>
    </row>
    <row r="32" spans="1:14" ht="15">
      <c r="A32" s="133" t="s">
        <v>59</v>
      </c>
      <c r="B32" s="139">
        <v>0</v>
      </c>
      <c r="C32" s="139">
        <v>0</v>
      </c>
      <c r="D32" s="139">
        <v>0</v>
      </c>
      <c r="E32" s="139">
        <v>0</v>
      </c>
      <c r="F32" s="139">
        <v>0</v>
      </c>
      <c r="G32" s="139">
        <v>0</v>
      </c>
      <c r="H32" s="139">
        <v>0</v>
      </c>
      <c r="I32" s="139">
        <v>0</v>
      </c>
      <c r="J32" s="139">
        <v>0</v>
      </c>
      <c r="K32" s="139">
        <v>0</v>
      </c>
      <c r="L32" s="139">
        <v>0</v>
      </c>
      <c r="M32" s="139">
        <v>0</v>
      </c>
      <c r="N32" s="57">
        <f t="shared" si="2"/>
        <v>0</v>
      </c>
    </row>
    <row r="33" spans="1:14" ht="15.75" thickBot="1">
      <c r="A33" s="133" t="s">
        <v>58</v>
      </c>
      <c r="B33" s="139">
        <v>0</v>
      </c>
      <c r="C33" s="139">
        <v>0</v>
      </c>
      <c r="D33" s="139">
        <v>0</v>
      </c>
      <c r="E33" s="139">
        <v>0</v>
      </c>
      <c r="F33" s="139">
        <v>0</v>
      </c>
      <c r="G33" s="139">
        <v>0</v>
      </c>
      <c r="H33" s="139">
        <v>0</v>
      </c>
      <c r="I33" s="139">
        <v>0</v>
      </c>
      <c r="J33" s="139">
        <v>0</v>
      </c>
      <c r="K33" s="139">
        <v>0</v>
      </c>
      <c r="L33" s="139">
        <v>0</v>
      </c>
      <c r="M33" s="139">
        <v>0</v>
      </c>
      <c r="N33" s="34">
        <f>SUM(B33:M33)</f>
        <v>0</v>
      </c>
    </row>
    <row r="34" spans="1:14" ht="15.75" thickBot="1">
      <c r="A34" s="134" t="s">
        <v>94</v>
      </c>
      <c r="B34" s="22">
        <f aca="true" t="shared" si="3" ref="B34:M34">B7-SUM(B9:B33)</f>
        <v>-47500</v>
      </c>
      <c r="C34" s="22">
        <f t="shared" si="3"/>
        <v>-22500</v>
      </c>
      <c r="D34" s="22">
        <f t="shared" si="3"/>
        <v>-22500</v>
      </c>
      <c r="E34" s="22">
        <f t="shared" si="3"/>
        <v>-22500</v>
      </c>
      <c r="F34" s="22">
        <f t="shared" si="3"/>
        <v>-22500</v>
      </c>
      <c r="G34" s="22">
        <f t="shared" si="3"/>
        <v>-22500</v>
      </c>
      <c r="H34" s="22">
        <f t="shared" si="3"/>
        <v>-22500</v>
      </c>
      <c r="I34" s="22">
        <f t="shared" si="3"/>
        <v>-22500</v>
      </c>
      <c r="J34" s="22">
        <f t="shared" si="3"/>
        <v>-22500</v>
      </c>
      <c r="K34" s="22">
        <f t="shared" si="3"/>
        <v>-22500</v>
      </c>
      <c r="L34" s="22">
        <f t="shared" si="3"/>
        <v>-22500</v>
      </c>
      <c r="M34" s="22">
        <f t="shared" si="3"/>
        <v>-22500</v>
      </c>
      <c r="N34" s="23">
        <f>SUM(B34:M34)</f>
        <v>-295000</v>
      </c>
    </row>
    <row r="37" spans="1:14" ht="15">
      <c r="A37" s="173" t="s">
        <v>211</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6">
      <selection activeCell="A2" sqref="A2"/>
    </sheetView>
  </sheetViews>
  <sheetFormatPr defaultColWidth="9.140625" defaultRowHeight="15"/>
  <cols>
    <col min="1" max="1" width="27.421875" style="0" customWidth="1"/>
    <col min="2" max="10" width="13.421875" style="0" bestFit="1" customWidth="1"/>
    <col min="11" max="12" width="12.57421875" style="0" bestFit="1" customWidth="1"/>
    <col min="13" max="13" width="14.28125" style="0" bestFit="1" customWidth="1"/>
    <col min="14" max="14" width="15.00390625" style="0" bestFit="1" customWidth="1"/>
    <col min="15" max="15" width="12.5742187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36">
        <f>B5/600</f>
        <v>0</v>
      </c>
      <c r="C4" s="136">
        <f>C5/600</f>
        <v>0</v>
      </c>
      <c r="D4" s="136">
        <f>D5/600</f>
        <v>0</v>
      </c>
      <c r="E4" s="136">
        <f>E5/600</f>
        <v>0</v>
      </c>
      <c r="F4" s="136">
        <f>F5/600</f>
        <v>0</v>
      </c>
      <c r="G4" s="140">
        <f>INT(G5/Calcs!$B$21)+1</f>
        <v>1</v>
      </c>
      <c r="H4" s="140">
        <f>INT(H5/Calcs!$B$21)+1</f>
        <v>1</v>
      </c>
      <c r="I4" s="140">
        <f>INT(I5/Calcs!$B$21)+1</f>
        <v>1</v>
      </c>
      <c r="J4" s="140">
        <f>INT(J5/Calcs!$B$21)+1</f>
        <v>1</v>
      </c>
      <c r="K4" s="140">
        <f>INT(K5/Calcs!$B$21)+1</f>
        <v>1</v>
      </c>
      <c r="L4" s="140">
        <f>INT(L5/Calcs!$B$21)+1</f>
        <v>1</v>
      </c>
      <c r="M4" s="140">
        <f>INT(M5/Calcs!$B$21)+1</f>
        <v>1</v>
      </c>
      <c r="N4" s="74"/>
    </row>
    <row r="5" spans="1:14" ht="15">
      <c r="A5" s="132" t="s">
        <v>204</v>
      </c>
      <c r="B5" s="136">
        <v>0</v>
      </c>
      <c r="C5" s="136">
        <v>0</v>
      </c>
      <c r="D5" s="136">
        <v>0</v>
      </c>
      <c r="E5" s="136">
        <v>0</v>
      </c>
      <c r="F5" s="136">
        <v>0</v>
      </c>
      <c r="G5" s="136">
        <v>100</v>
      </c>
      <c r="H5" s="136">
        <v>200</v>
      </c>
      <c r="I5" s="136">
        <v>400</v>
      </c>
      <c r="J5" s="136">
        <v>800</v>
      </c>
      <c r="K5" s="136">
        <f>J5*1.15</f>
        <v>919.9999999999999</v>
      </c>
      <c r="L5" s="136">
        <f>K5*1.15</f>
        <v>1057.9999999999998</v>
      </c>
      <c r="M5" s="136">
        <f>L5*1.15</f>
        <v>1216.6999999999996</v>
      </c>
      <c r="N5" s="116">
        <f>SUM(B5:M5)</f>
        <v>4694.7</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5" ht="15">
      <c r="A7" s="132" t="s">
        <v>55</v>
      </c>
      <c r="B7" s="21">
        <f>B5*$D$3</f>
        <v>0</v>
      </c>
      <c r="C7" s="21">
        <f aca="true" t="shared" si="0" ref="C7:M7">C5*$D$3</f>
        <v>0</v>
      </c>
      <c r="D7" s="21">
        <f t="shared" si="0"/>
        <v>0</v>
      </c>
      <c r="E7" s="21">
        <f t="shared" si="0"/>
        <v>0</v>
      </c>
      <c r="F7" s="21">
        <f t="shared" si="0"/>
        <v>0</v>
      </c>
      <c r="G7" s="21">
        <f t="shared" si="0"/>
        <v>19800</v>
      </c>
      <c r="H7" s="21">
        <f t="shared" si="0"/>
        <v>39600</v>
      </c>
      <c r="I7" s="21">
        <f t="shared" si="0"/>
        <v>79200</v>
      </c>
      <c r="J7" s="21">
        <f t="shared" si="0"/>
        <v>158400</v>
      </c>
      <c r="K7" s="21">
        <f t="shared" si="0"/>
        <v>182159.99999999997</v>
      </c>
      <c r="L7" s="21">
        <f t="shared" si="0"/>
        <v>209483.99999999994</v>
      </c>
      <c r="M7" s="21">
        <f t="shared" si="0"/>
        <v>240906.59999999992</v>
      </c>
      <c r="N7" s="57">
        <f>SUM(B7:M7)</f>
        <v>929550.5999999999</v>
      </c>
      <c r="O7" s="2"/>
    </row>
    <row r="8" spans="1:14" ht="15">
      <c r="A8" s="122"/>
      <c r="B8" s="113"/>
      <c r="C8" s="113"/>
      <c r="D8" s="113"/>
      <c r="E8" s="113"/>
      <c r="F8" s="113"/>
      <c r="G8" s="113"/>
      <c r="H8" s="113"/>
      <c r="I8" s="113"/>
      <c r="J8" s="113"/>
      <c r="K8" s="113"/>
      <c r="L8" s="113"/>
      <c r="M8" s="113"/>
      <c r="N8" s="117"/>
    </row>
    <row r="9" spans="1:14" ht="15">
      <c r="A9" s="132" t="s">
        <v>56</v>
      </c>
      <c r="B9" s="21">
        <f>B5*$B$3</f>
        <v>0</v>
      </c>
      <c r="C9" s="21">
        <f aca="true" t="shared" si="1" ref="C9:M9">C5*$B$3</f>
        <v>0</v>
      </c>
      <c r="D9" s="21">
        <f t="shared" si="1"/>
        <v>0</v>
      </c>
      <c r="E9" s="21">
        <f t="shared" si="1"/>
        <v>0</v>
      </c>
      <c r="F9" s="21">
        <f t="shared" si="1"/>
        <v>0</v>
      </c>
      <c r="G9" s="21">
        <f t="shared" si="1"/>
        <v>13800</v>
      </c>
      <c r="H9" s="21">
        <f t="shared" si="1"/>
        <v>27600</v>
      </c>
      <c r="I9" s="21">
        <f t="shared" si="1"/>
        <v>55200</v>
      </c>
      <c r="J9" s="21">
        <f t="shared" si="1"/>
        <v>110400</v>
      </c>
      <c r="K9" s="21">
        <f t="shared" si="1"/>
        <v>126959.99999999999</v>
      </c>
      <c r="L9" s="21">
        <f t="shared" si="1"/>
        <v>146003.99999999997</v>
      </c>
      <c r="M9" s="21">
        <f t="shared" si="1"/>
        <v>167904.59999999995</v>
      </c>
      <c r="N9" s="57">
        <f>SUM(B9:M9)</f>
        <v>647868.6</v>
      </c>
    </row>
    <row r="10" spans="1:14" ht="15">
      <c r="A10" s="132" t="s">
        <v>199</v>
      </c>
      <c r="B10" s="138">
        <v>0</v>
      </c>
      <c r="C10" s="138">
        <v>0</v>
      </c>
      <c r="D10" s="138">
        <v>0</v>
      </c>
      <c r="E10" s="138">
        <v>0</v>
      </c>
      <c r="F10" s="138">
        <v>0</v>
      </c>
      <c r="G10" s="138">
        <v>0</v>
      </c>
      <c r="H10" s="138">
        <v>0</v>
      </c>
      <c r="I10" s="138">
        <v>0</v>
      </c>
      <c r="J10" s="138">
        <v>0</v>
      </c>
      <c r="K10" s="138">
        <v>0</v>
      </c>
      <c r="L10" s="138">
        <v>0</v>
      </c>
      <c r="M10" s="138">
        <v>0</v>
      </c>
      <c r="N10" s="57">
        <f>SUM(B10:M10)</f>
        <v>0</v>
      </c>
    </row>
    <row r="11" spans="1:14" ht="15">
      <c r="A11" s="132" t="s">
        <v>188</v>
      </c>
      <c r="B11" s="138">
        <v>0</v>
      </c>
      <c r="C11" s="138">
        <v>200000</v>
      </c>
      <c r="D11" s="138">
        <v>0</v>
      </c>
      <c r="E11" s="138">
        <v>0</v>
      </c>
      <c r="F11" s="138">
        <v>0</v>
      </c>
      <c r="G11" s="138">
        <v>0</v>
      </c>
      <c r="H11" s="138">
        <v>0</v>
      </c>
      <c r="I11" s="138">
        <v>0</v>
      </c>
      <c r="J11" s="138">
        <v>0</v>
      </c>
      <c r="K11" s="138">
        <v>0</v>
      </c>
      <c r="L11" s="138">
        <v>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3000</v>
      </c>
      <c r="G13" s="138">
        <v>3000</v>
      </c>
      <c r="H13" s="138">
        <v>3000</v>
      </c>
      <c r="I13" s="138">
        <v>3000</v>
      </c>
      <c r="J13" s="138">
        <v>3000</v>
      </c>
      <c r="K13" s="138">
        <v>3000</v>
      </c>
      <c r="L13" s="138">
        <v>3000</v>
      </c>
      <c r="M13" s="138">
        <v>3000</v>
      </c>
      <c r="N13" s="57">
        <f>SUM(B13:M13)</f>
        <v>36000</v>
      </c>
    </row>
    <row r="14" spans="1:14" ht="15">
      <c r="A14" s="132" t="s">
        <v>205</v>
      </c>
      <c r="B14" s="138">
        <v>0</v>
      </c>
      <c r="C14" s="138">
        <v>0</v>
      </c>
      <c r="D14" s="138">
        <v>10000</v>
      </c>
      <c r="E14" s="138">
        <v>0</v>
      </c>
      <c r="F14" s="138">
        <v>0</v>
      </c>
      <c r="G14" s="138">
        <v>0</v>
      </c>
      <c r="H14" s="138">
        <v>0</v>
      </c>
      <c r="I14" s="138">
        <v>0</v>
      </c>
      <c r="J14" s="138">
        <v>0</v>
      </c>
      <c r="K14" s="138">
        <v>0</v>
      </c>
      <c r="L14" s="138">
        <v>0</v>
      </c>
      <c r="M14" s="138">
        <v>0</v>
      </c>
      <c r="N14" s="57">
        <f aca="true" t="shared" si="2" ref="N14:N32">SUM(B14:M14)</f>
        <v>10000</v>
      </c>
    </row>
    <row r="15" spans="1:14" ht="15">
      <c r="A15" s="132" t="s">
        <v>189</v>
      </c>
      <c r="B15" s="138">
        <v>0</v>
      </c>
      <c r="C15" s="138">
        <v>0</v>
      </c>
      <c r="D15" s="138">
        <v>0</v>
      </c>
      <c r="E15" s="138">
        <v>0</v>
      </c>
      <c r="F15" s="138">
        <v>4525</v>
      </c>
      <c r="G15" s="138">
        <v>4525</v>
      </c>
      <c r="H15" s="138">
        <v>4525</v>
      </c>
      <c r="I15" s="138">
        <v>4525</v>
      </c>
      <c r="J15" s="138">
        <v>4525</v>
      </c>
      <c r="K15" s="138">
        <v>4525</v>
      </c>
      <c r="L15" s="138">
        <v>4525</v>
      </c>
      <c r="M15" s="138">
        <v>4525</v>
      </c>
      <c r="N15" s="57">
        <f t="shared" si="2"/>
        <v>36200</v>
      </c>
    </row>
    <row r="16" spans="1:14" ht="15">
      <c r="A16" s="132" t="s">
        <v>190</v>
      </c>
      <c r="B16" s="138">
        <v>0</v>
      </c>
      <c r="C16" s="138">
        <v>0</v>
      </c>
      <c r="D16" s="138">
        <v>0</v>
      </c>
      <c r="E16" s="138">
        <v>0</v>
      </c>
      <c r="F16" s="138">
        <v>0</v>
      </c>
      <c r="G16" s="138">
        <v>0</v>
      </c>
      <c r="H16" s="138">
        <v>0</v>
      </c>
      <c r="I16" s="138">
        <v>0</v>
      </c>
      <c r="J16" s="138">
        <v>4525</v>
      </c>
      <c r="K16" s="138">
        <v>4525</v>
      </c>
      <c r="L16" s="138">
        <v>4525</v>
      </c>
      <c r="M16" s="138">
        <v>4525</v>
      </c>
      <c r="N16" s="57">
        <f t="shared" si="2"/>
        <v>18100</v>
      </c>
    </row>
    <row r="17" spans="1:14" ht="15">
      <c r="A17" s="132" t="s">
        <v>191</v>
      </c>
      <c r="B17" s="138">
        <v>0</v>
      </c>
      <c r="C17" s="138">
        <v>0</v>
      </c>
      <c r="D17" s="138">
        <v>0</v>
      </c>
      <c r="E17" s="138">
        <v>0</v>
      </c>
      <c r="F17" s="138">
        <v>0</v>
      </c>
      <c r="G17" s="138">
        <v>0</v>
      </c>
      <c r="H17" s="138">
        <v>0</v>
      </c>
      <c r="I17" s="138">
        <v>0</v>
      </c>
      <c r="J17" s="138">
        <v>0</v>
      </c>
      <c r="K17" s="138">
        <v>0</v>
      </c>
      <c r="L17" s="138">
        <v>0</v>
      </c>
      <c r="M17" s="138">
        <v>4525</v>
      </c>
      <c r="N17" s="57">
        <f t="shared" si="2"/>
        <v>4525</v>
      </c>
    </row>
    <row r="18" spans="1:14" ht="15">
      <c r="A18" s="132" t="s">
        <v>192</v>
      </c>
      <c r="B18" s="138">
        <v>0</v>
      </c>
      <c r="C18" s="138">
        <v>0</v>
      </c>
      <c r="D18" s="138">
        <v>0</v>
      </c>
      <c r="E18" s="138">
        <v>0</v>
      </c>
      <c r="F18" s="138">
        <v>0</v>
      </c>
      <c r="G18" s="138">
        <v>0</v>
      </c>
      <c r="H18" s="138">
        <v>0</v>
      </c>
      <c r="I18" s="138">
        <v>0</v>
      </c>
      <c r="J18" s="138">
        <v>0</v>
      </c>
      <c r="K18" s="138">
        <v>0</v>
      </c>
      <c r="L18" s="138">
        <v>0</v>
      </c>
      <c r="M18" s="138">
        <v>0</v>
      </c>
      <c r="N18" s="57">
        <f t="shared" si="2"/>
        <v>0</v>
      </c>
    </row>
    <row r="19" spans="1:14" ht="15">
      <c r="A19" s="132" t="s">
        <v>194</v>
      </c>
      <c r="B19" s="138">
        <v>0</v>
      </c>
      <c r="C19" s="138">
        <v>0</v>
      </c>
      <c r="D19" s="138">
        <v>0</v>
      </c>
      <c r="E19" s="138">
        <v>0</v>
      </c>
      <c r="F19" s="144">
        <v>4400</v>
      </c>
      <c r="G19" s="144">
        <v>4400</v>
      </c>
      <c r="H19" s="144">
        <v>4400</v>
      </c>
      <c r="I19" s="144">
        <v>4400</v>
      </c>
      <c r="J19" s="144">
        <v>8800</v>
      </c>
      <c r="K19" s="144">
        <v>8800</v>
      </c>
      <c r="L19" s="144">
        <v>8800</v>
      </c>
      <c r="M19" s="144">
        <v>8800</v>
      </c>
      <c r="N19" s="57">
        <f t="shared" si="2"/>
        <v>52800</v>
      </c>
    </row>
    <row r="20" spans="1:14" ht="15">
      <c r="A20" s="132" t="s">
        <v>193</v>
      </c>
      <c r="B20" s="138">
        <v>0</v>
      </c>
      <c r="C20" s="138">
        <v>0</v>
      </c>
      <c r="D20" s="138">
        <v>0</v>
      </c>
      <c r="E20" s="138">
        <v>0</v>
      </c>
      <c r="F20" s="138">
        <v>0</v>
      </c>
      <c r="G20" s="138">
        <v>0</v>
      </c>
      <c r="H20" s="138">
        <v>0</v>
      </c>
      <c r="I20" s="138">
        <v>0</v>
      </c>
      <c r="J20" s="138">
        <v>0</v>
      </c>
      <c r="K20" s="138">
        <v>0</v>
      </c>
      <c r="L20" s="138">
        <v>0</v>
      </c>
      <c r="M20" s="138">
        <v>4400</v>
      </c>
      <c r="N20" s="57">
        <f t="shared" si="2"/>
        <v>4400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 t="shared" si="2"/>
        <v>132000</v>
      </c>
    </row>
    <row r="22" spans="1:14" ht="15">
      <c r="A22" s="132" t="s">
        <v>67</v>
      </c>
      <c r="B22" s="138">
        <v>2750</v>
      </c>
      <c r="C22" s="138">
        <v>2750</v>
      </c>
      <c r="D22" s="138">
        <v>2750</v>
      </c>
      <c r="E22" s="138">
        <v>11000</v>
      </c>
      <c r="F22" s="138">
        <v>11000</v>
      </c>
      <c r="G22" s="138">
        <v>11000</v>
      </c>
      <c r="H22" s="138">
        <v>11000</v>
      </c>
      <c r="I22" s="138">
        <v>11000</v>
      </c>
      <c r="J22" s="138">
        <v>11000</v>
      </c>
      <c r="K22" s="138">
        <v>11000</v>
      </c>
      <c r="L22" s="138">
        <v>11000</v>
      </c>
      <c r="M22" s="138">
        <v>11000</v>
      </c>
      <c r="N22" s="57">
        <f t="shared" si="2"/>
        <v>107250</v>
      </c>
    </row>
    <row r="23" spans="1:14" ht="15">
      <c r="A23" s="132" t="s">
        <v>43</v>
      </c>
      <c r="B23" s="138">
        <v>0</v>
      </c>
      <c r="C23" s="138">
        <v>0</v>
      </c>
      <c r="D23" s="138">
        <v>0</v>
      </c>
      <c r="E23" s="138">
        <v>0</v>
      </c>
      <c r="F23" s="138">
        <v>0</v>
      </c>
      <c r="G23" s="138">
        <v>0</v>
      </c>
      <c r="H23" s="138">
        <v>0</v>
      </c>
      <c r="I23" s="138">
        <v>0</v>
      </c>
      <c r="J23" s="138">
        <v>0</v>
      </c>
      <c r="K23" s="138">
        <v>0</v>
      </c>
      <c r="L23" s="138">
        <v>0</v>
      </c>
      <c r="M23" s="138">
        <v>0</v>
      </c>
      <c r="N23" s="57">
        <f t="shared" si="2"/>
        <v>0</v>
      </c>
    </row>
    <row r="24" spans="1:14" ht="15">
      <c r="A24" s="132" t="s">
        <v>62</v>
      </c>
      <c r="B24" s="138">
        <v>0</v>
      </c>
      <c r="C24" s="138">
        <v>0</v>
      </c>
      <c r="D24" s="138">
        <v>0</v>
      </c>
      <c r="E24" s="138">
        <v>0</v>
      </c>
      <c r="F24" s="138">
        <v>2500</v>
      </c>
      <c r="G24" s="138">
        <v>2500</v>
      </c>
      <c r="H24" s="138">
        <v>2500</v>
      </c>
      <c r="I24" s="138">
        <v>2500</v>
      </c>
      <c r="J24" s="138">
        <v>2500</v>
      </c>
      <c r="K24" s="138">
        <v>2500</v>
      </c>
      <c r="L24" s="138">
        <v>2500</v>
      </c>
      <c r="M24" s="138">
        <v>2500</v>
      </c>
      <c r="N24" s="57">
        <f t="shared" si="2"/>
        <v>20000</v>
      </c>
    </row>
    <row r="25" spans="1:14" ht="15">
      <c r="A25" s="132" t="s">
        <v>96</v>
      </c>
      <c r="B25" s="138">
        <v>3500</v>
      </c>
      <c r="C25" s="138">
        <v>3500</v>
      </c>
      <c r="D25" s="138">
        <v>3500</v>
      </c>
      <c r="E25" s="138">
        <v>3500</v>
      </c>
      <c r="F25" s="138">
        <v>20000</v>
      </c>
      <c r="G25" s="138">
        <v>20000</v>
      </c>
      <c r="H25" s="138">
        <v>20000</v>
      </c>
      <c r="I25" s="138">
        <v>20000</v>
      </c>
      <c r="J25" s="138">
        <v>20000</v>
      </c>
      <c r="K25" s="138">
        <v>20000</v>
      </c>
      <c r="L25" s="138">
        <v>20000</v>
      </c>
      <c r="M25" s="138">
        <v>20000</v>
      </c>
      <c r="N25" s="57">
        <f t="shared" si="2"/>
        <v>174000</v>
      </c>
    </row>
    <row r="26" spans="1:14" ht="15">
      <c r="A26" s="132" t="s">
        <v>45</v>
      </c>
      <c r="B26" s="138">
        <v>1000</v>
      </c>
      <c r="C26" s="138">
        <v>1000</v>
      </c>
      <c r="D26" s="138">
        <v>1000</v>
      </c>
      <c r="E26" s="138">
        <v>1000</v>
      </c>
      <c r="F26" s="138">
        <v>3000</v>
      </c>
      <c r="G26" s="138">
        <v>3000</v>
      </c>
      <c r="H26" s="138">
        <v>3000</v>
      </c>
      <c r="I26" s="138">
        <v>3000</v>
      </c>
      <c r="J26" s="138">
        <v>3000</v>
      </c>
      <c r="K26" s="138">
        <v>3000</v>
      </c>
      <c r="L26" s="138">
        <v>3000</v>
      </c>
      <c r="M26" s="138">
        <v>3000</v>
      </c>
      <c r="N26" s="57">
        <f t="shared" si="2"/>
        <v>28000</v>
      </c>
    </row>
    <row r="27" spans="1:14" ht="15">
      <c r="A27" s="132" t="s">
        <v>46</v>
      </c>
      <c r="B27" s="138">
        <v>250</v>
      </c>
      <c r="C27" s="138">
        <v>250</v>
      </c>
      <c r="D27" s="138">
        <v>250</v>
      </c>
      <c r="E27" s="138">
        <v>250</v>
      </c>
      <c r="F27" s="138">
        <v>500</v>
      </c>
      <c r="G27" s="138">
        <f>(G4*300*30*0.007469)*2+1000</f>
        <v>1134.442</v>
      </c>
      <c r="H27" s="138">
        <f aca="true" t="shared" si="3" ref="H27:M27">(H4*300*30*0.007469)*2+1000</f>
        <v>1134.442</v>
      </c>
      <c r="I27" s="138">
        <f t="shared" si="3"/>
        <v>1134.442</v>
      </c>
      <c r="J27" s="138">
        <f>(J4*300*30*0.007469)*2+1000</f>
        <v>1134.442</v>
      </c>
      <c r="K27" s="138">
        <f t="shared" si="3"/>
        <v>1134.442</v>
      </c>
      <c r="L27" s="138">
        <f t="shared" si="3"/>
        <v>1134.442</v>
      </c>
      <c r="M27" s="138">
        <f t="shared" si="3"/>
        <v>1134.442</v>
      </c>
      <c r="N27" s="57">
        <f t="shared" si="2"/>
        <v>9441.094000000001</v>
      </c>
    </row>
    <row r="28" spans="1:14" ht="15">
      <c r="A28" s="132" t="s">
        <v>48</v>
      </c>
      <c r="B28" s="138">
        <v>1500</v>
      </c>
      <c r="C28" s="138">
        <v>1500</v>
      </c>
      <c r="D28" s="138">
        <v>1500</v>
      </c>
      <c r="E28" s="138">
        <v>1500</v>
      </c>
      <c r="F28" s="138">
        <v>10000</v>
      </c>
      <c r="G28" s="138">
        <v>10000</v>
      </c>
      <c r="H28" s="138">
        <v>10000</v>
      </c>
      <c r="I28" s="138">
        <v>10000</v>
      </c>
      <c r="J28" s="138">
        <v>10000</v>
      </c>
      <c r="K28" s="138">
        <v>10000</v>
      </c>
      <c r="L28" s="138">
        <v>10000</v>
      </c>
      <c r="M28" s="138">
        <v>10000</v>
      </c>
      <c r="N28" s="57">
        <f t="shared" si="2"/>
        <v>86000</v>
      </c>
    </row>
    <row r="29" spans="1:14" ht="15">
      <c r="A29" s="132" t="s">
        <v>50</v>
      </c>
      <c r="B29" s="138">
        <v>0</v>
      </c>
      <c r="C29" s="138">
        <v>0</v>
      </c>
      <c r="D29" s="138">
        <v>0</v>
      </c>
      <c r="E29" s="138">
        <v>0</v>
      </c>
      <c r="F29" s="138">
        <v>0</v>
      </c>
      <c r="G29" s="138">
        <v>1500</v>
      </c>
      <c r="H29" s="138">
        <v>1500</v>
      </c>
      <c r="I29" s="138">
        <v>1500</v>
      </c>
      <c r="J29" s="138">
        <v>1500</v>
      </c>
      <c r="K29" s="138">
        <v>1500</v>
      </c>
      <c r="L29" s="138">
        <v>1500</v>
      </c>
      <c r="M29" s="138">
        <v>1500</v>
      </c>
      <c r="N29" s="57">
        <f t="shared" si="2"/>
        <v>10500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2"/>
        <v>20004</v>
      </c>
    </row>
    <row r="31" spans="1:14" ht="15">
      <c r="A31" s="132" t="s">
        <v>198</v>
      </c>
      <c r="B31" s="138">
        <v>0</v>
      </c>
      <c r="C31" s="138">
        <v>0</v>
      </c>
      <c r="D31" s="138">
        <v>0</v>
      </c>
      <c r="E31" s="138">
        <f>6500+2*(E5/2)</f>
        <v>6500</v>
      </c>
      <c r="F31" s="138">
        <f aca="true" t="shared" si="4" ref="F31:M31">6500+2*(F5/2)</f>
        <v>6500</v>
      </c>
      <c r="G31" s="138">
        <f t="shared" si="4"/>
        <v>6600</v>
      </c>
      <c r="H31" s="138">
        <f t="shared" si="4"/>
        <v>6700</v>
      </c>
      <c r="I31" s="138">
        <f t="shared" si="4"/>
        <v>6900</v>
      </c>
      <c r="J31" s="138">
        <f t="shared" si="4"/>
        <v>7300</v>
      </c>
      <c r="K31" s="138">
        <f t="shared" si="4"/>
        <v>7420</v>
      </c>
      <c r="L31" s="138">
        <f t="shared" si="4"/>
        <v>7558</v>
      </c>
      <c r="M31" s="138">
        <f t="shared" si="4"/>
        <v>7716.7</v>
      </c>
      <c r="N31" s="57">
        <f t="shared" si="2"/>
        <v>63194.7</v>
      </c>
    </row>
    <row r="32" spans="1:14" ht="15">
      <c r="A32" s="133" t="s">
        <v>59</v>
      </c>
      <c r="B32" s="139">
        <v>0</v>
      </c>
      <c r="C32" s="139">
        <v>0</v>
      </c>
      <c r="D32" s="139">
        <v>0</v>
      </c>
      <c r="E32" s="138">
        <f aca="true" t="shared" si="5" ref="E32:M32">3400+1*(E4/2)</f>
        <v>3400</v>
      </c>
      <c r="F32" s="138">
        <f t="shared" si="5"/>
        <v>3400</v>
      </c>
      <c r="G32" s="138">
        <f t="shared" si="5"/>
        <v>3400.5</v>
      </c>
      <c r="H32" s="138">
        <f t="shared" si="5"/>
        <v>3400.5</v>
      </c>
      <c r="I32" s="138">
        <f t="shared" si="5"/>
        <v>3400.5</v>
      </c>
      <c r="J32" s="138">
        <f t="shared" si="5"/>
        <v>3400.5</v>
      </c>
      <c r="K32" s="138">
        <f t="shared" si="5"/>
        <v>3400.5</v>
      </c>
      <c r="L32" s="138">
        <f t="shared" si="5"/>
        <v>3400.5</v>
      </c>
      <c r="M32" s="138">
        <f t="shared" si="5"/>
        <v>3400.5</v>
      </c>
      <c r="N32" s="57">
        <f t="shared" si="2"/>
        <v>30603.5</v>
      </c>
    </row>
    <row r="33" spans="1:14" ht="15.75" thickBot="1">
      <c r="A33" s="133" t="s">
        <v>58</v>
      </c>
      <c r="B33" s="139">
        <v>0</v>
      </c>
      <c r="C33" s="139">
        <v>0</v>
      </c>
      <c r="D33" s="139">
        <v>0</v>
      </c>
      <c r="E33" s="138">
        <f aca="true" t="shared" si="6" ref="E33:M33">3400+1*(E5/2)</f>
        <v>3400</v>
      </c>
      <c r="F33" s="138">
        <f t="shared" si="6"/>
        <v>3400</v>
      </c>
      <c r="G33" s="138">
        <f t="shared" si="6"/>
        <v>3450</v>
      </c>
      <c r="H33" s="138">
        <f t="shared" si="6"/>
        <v>3500</v>
      </c>
      <c r="I33" s="138">
        <f t="shared" si="6"/>
        <v>3600</v>
      </c>
      <c r="J33" s="138">
        <f t="shared" si="6"/>
        <v>3800</v>
      </c>
      <c r="K33" s="138">
        <f t="shared" si="6"/>
        <v>3860</v>
      </c>
      <c r="L33" s="138">
        <f t="shared" si="6"/>
        <v>3929</v>
      </c>
      <c r="M33" s="138">
        <f t="shared" si="6"/>
        <v>4008.35</v>
      </c>
      <c r="N33" s="34">
        <f>SUM(B33:M33)</f>
        <v>32947.35</v>
      </c>
    </row>
    <row r="34" spans="1:14" ht="15.75" thickBot="1">
      <c r="A34" s="134" t="s">
        <v>94</v>
      </c>
      <c r="B34" s="22">
        <f aca="true" t="shared" si="7" ref="B34:M34">B7-SUM(B9:B33)</f>
        <v>-24667</v>
      </c>
      <c r="C34" s="22">
        <f t="shared" si="7"/>
        <v>-224667</v>
      </c>
      <c r="D34" s="22">
        <f t="shared" si="7"/>
        <v>-34667</v>
      </c>
      <c r="E34" s="22">
        <f t="shared" si="7"/>
        <v>-46217</v>
      </c>
      <c r="F34" s="22">
        <f t="shared" si="7"/>
        <v>-84892</v>
      </c>
      <c r="G34" s="22">
        <f t="shared" si="7"/>
        <v>-81176.942</v>
      </c>
      <c r="H34" s="22">
        <f t="shared" si="7"/>
        <v>-75326.942</v>
      </c>
      <c r="I34" s="22">
        <f t="shared" si="7"/>
        <v>-63626.94199999998</v>
      </c>
      <c r="J34" s="22">
        <f t="shared" si="7"/>
        <v>-49151.94200000001</v>
      </c>
      <c r="K34" s="22">
        <f t="shared" si="7"/>
        <v>-42131.94200000004</v>
      </c>
      <c r="L34" s="22">
        <f t="shared" si="7"/>
        <v>-34058.94200000004</v>
      </c>
      <c r="M34" s="22">
        <f t="shared" si="7"/>
        <v>-33699.99200000003</v>
      </c>
      <c r="N34" s="23">
        <f>SUM(B34:M34)</f>
        <v>-794283.6440000001</v>
      </c>
    </row>
    <row r="35" ht="15">
      <c r="D35" s="2"/>
    </row>
    <row r="37" spans="1:14" ht="15">
      <c r="A37" s="173" t="s">
        <v>211</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0">
      <selection activeCell="A2" sqref="A2"/>
    </sheetView>
  </sheetViews>
  <sheetFormatPr defaultColWidth="9.140625" defaultRowHeight="15"/>
  <cols>
    <col min="1" max="1" width="27.7109375" style="0" customWidth="1"/>
    <col min="2" max="2" width="13.421875" style="0" bestFit="1" customWidth="1"/>
    <col min="3" max="4" width="12.57421875" style="0" bestFit="1" customWidth="1"/>
    <col min="5" max="5" width="13.421875" style="0" bestFit="1" customWidth="1"/>
    <col min="6" max="13" width="14.28125" style="0" bestFit="1" customWidth="1"/>
    <col min="14" max="14" width="15.28125" style="0" bestFit="1" customWidth="1"/>
  </cols>
  <sheetData>
    <row r="1" spans="1:14" ht="15">
      <c r="A1" s="62"/>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f>INT(B5/Calcs!$B$21)+1</f>
        <v>1</v>
      </c>
      <c r="C4" s="140">
        <f>INT(C5/Calcs!$B$21)+1</f>
        <v>1</v>
      </c>
      <c r="D4" s="140">
        <f>INT(D5/Calcs!$B$21)+1</f>
        <v>1</v>
      </c>
      <c r="E4" s="140">
        <f>INT(E5/Calcs!$B$21)+1</f>
        <v>1</v>
      </c>
      <c r="F4" s="140">
        <f>INT(F5/Calcs!$B$21)+1</f>
        <v>1</v>
      </c>
      <c r="G4" s="140">
        <v>1</v>
      </c>
      <c r="H4" s="140">
        <v>1</v>
      </c>
      <c r="I4" s="140">
        <f>INT(I5/Calcs!$B$21)+1</f>
        <v>2</v>
      </c>
      <c r="J4" s="140">
        <f>INT(J5/Calcs!$B$21)+1</f>
        <v>2</v>
      </c>
      <c r="K4" s="140">
        <f>INT(K5/Calcs!$B$21)+1</f>
        <v>2</v>
      </c>
      <c r="L4" s="140">
        <f>INT(L5/Calcs!$B$21)+1</f>
        <v>2</v>
      </c>
      <c r="M4" s="140">
        <f>INT(M5/Calcs!$B$21)+1</f>
        <v>2</v>
      </c>
      <c r="N4" s="74"/>
    </row>
    <row r="5" spans="1:14" ht="15">
      <c r="A5" s="132" t="s">
        <v>204</v>
      </c>
      <c r="B5" s="136">
        <f>'FY 1 Most Likely'!M5*1.1</f>
        <v>1338.3699999999997</v>
      </c>
      <c r="C5" s="136">
        <f>B5*1.1</f>
        <v>1472.2069999999997</v>
      </c>
      <c r="D5" s="136">
        <f aca="true" t="shared" si="0" ref="D5:M5">C5*1.1</f>
        <v>1619.4276999999997</v>
      </c>
      <c r="E5" s="136">
        <f t="shared" si="0"/>
        <v>1781.3704699999998</v>
      </c>
      <c r="F5" s="136">
        <f t="shared" si="0"/>
        <v>1959.507517</v>
      </c>
      <c r="G5" s="136">
        <f t="shared" si="0"/>
        <v>2155.4582687</v>
      </c>
      <c r="H5" s="136">
        <f t="shared" si="0"/>
        <v>2371.0040955700006</v>
      </c>
      <c r="I5" s="136">
        <f t="shared" si="0"/>
        <v>2608.1045051270007</v>
      </c>
      <c r="J5" s="136">
        <f t="shared" si="0"/>
        <v>2868.914955639701</v>
      </c>
      <c r="K5" s="136">
        <f t="shared" si="0"/>
        <v>3155.8064512036713</v>
      </c>
      <c r="L5" s="136">
        <f t="shared" si="0"/>
        <v>3471.387096324039</v>
      </c>
      <c r="M5" s="136">
        <f t="shared" si="0"/>
        <v>3818.525805956443</v>
      </c>
      <c r="N5" s="116">
        <f>SUM(B5:M5)</f>
        <v>28620.083865520857</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264997.25999999995</v>
      </c>
      <c r="C7" s="30">
        <f aca="true" t="shared" si="1" ref="C7:M7">C5*$D$3</f>
        <v>291496.9859999999</v>
      </c>
      <c r="D7" s="30">
        <f t="shared" si="1"/>
        <v>320646.6845999999</v>
      </c>
      <c r="E7" s="30">
        <f t="shared" si="1"/>
        <v>352711.35306</v>
      </c>
      <c r="F7" s="30">
        <f t="shared" si="1"/>
        <v>387982.488366</v>
      </c>
      <c r="G7" s="30">
        <f t="shared" si="1"/>
        <v>426780.73720260005</v>
      </c>
      <c r="H7" s="30">
        <f t="shared" si="1"/>
        <v>469458.8109228601</v>
      </c>
      <c r="I7" s="30">
        <f t="shared" si="1"/>
        <v>516404.69201514614</v>
      </c>
      <c r="J7" s="30">
        <f t="shared" si="1"/>
        <v>568045.1612166608</v>
      </c>
      <c r="K7" s="30">
        <f t="shared" si="1"/>
        <v>624849.6773383269</v>
      </c>
      <c r="L7" s="30">
        <f t="shared" si="1"/>
        <v>687334.6450721597</v>
      </c>
      <c r="M7" s="30">
        <f t="shared" si="1"/>
        <v>756068.1095793757</v>
      </c>
      <c r="N7" s="31">
        <f>SUM(B7:M7)</f>
        <v>5666776.605373129</v>
      </c>
    </row>
    <row r="8" spans="1:14" ht="15">
      <c r="A8" s="122"/>
      <c r="B8" s="35"/>
      <c r="C8" s="35"/>
      <c r="D8" s="35"/>
      <c r="E8" s="35"/>
      <c r="F8" s="35"/>
      <c r="G8" s="35"/>
      <c r="H8" s="35"/>
      <c r="I8" s="35"/>
      <c r="J8" s="35"/>
      <c r="K8" s="35"/>
      <c r="L8" s="35"/>
      <c r="M8" s="35"/>
      <c r="N8" s="36"/>
    </row>
    <row r="9" spans="1:14" ht="15">
      <c r="A9" s="132" t="s">
        <v>56</v>
      </c>
      <c r="B9" s="21">
        <f>B5*$B$3</f>
        <v>184695.05999999994</v>
      </c>
      <c r="C9" s="21">
        <f aca="true" t="shared" si="2" ref="C9:M9">C5*$B$3</f>
        <v>203164.56599999996</v>
      </c>
      <c r="D9" s="21">
        <f t="shared" si="2"/>
        <v>223481.02259999997</v>
      </c>
      <c r="E9" s="21">
        <f t="shared" si="2"/>
        <v>245829.12485999998</v>
      </c>
      <c r="F9" s="21">
        <f t="shared" si="2"/>
        <v>270412.037346</v>
      </c>
      <c r="G9" s="21">
        <f t="shared" si="2"/>
        <v>297453.2410806</v>
      </c>
      <c r="H9" s="21">
        <f t="shared" si="2"/>
        <v>327198.56518866005</v>
      </c>
      <c r="I9" s="21">
        <f t="shared" si="2"/>
        <v>359918.4217075261</v>
      </c>
      <c r="J9" s="21">
        <f t="shared" si="2"/>
        <v>395910.2638782787</v>
      </c>
      <c r="K9" s="21">
        <f t="shared" si="2"/>
        <v>435501.29026610666</v>
      </c>
      <c r="L9" s="21">
        <f t="shared" si="2"/>
        <v>479051.41929271736</v>
      </c>
      <c r="M9" s="21">
        <f t="shared" si="2"/>
        <v>526956.5612219891</v>
      </c>
      <c r="N9" s="31">
        <f>SUM(B9:M9)</f>
        <v>3949571.573441878</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0</v>
      </c>
      <c r="D11" s="138">
        <v>0</v>
      </c>
      <c r="E11" s="138">
        <v>200000</v>
      </c>
      <c r="F11" s="138">
        <v>0</v>
      </c>
      <c r="G11" s="138">
        <v>0</v>
      </c>
      <c r="H11" s="138">
        <v>0</v>
      </c>
      <c r="I11" s="138">
        <v>0</v>
      </c>
      <c r="J11" s="138">
        <v>0</v>
      </c>
      <c r="K11" s="138"/>
      <c r="L11" s="138">
        <v>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25000</v>
      </c>
      <c r="G13" s="138">
        <v>25000</v>
      </c>
      <c r="H13" s="138">
        <v>25000</v>
      </c>
      <c r="I13" s="138">
        <v>25000</v>
      </c>
      <c r="J13" s="138">
        <v>25000</v>
      </c>
      <c r="K13" s="138">
        <v>25000</v>
      </c>
      <c r="L13" s="138">
        <v>25000</v>
      </c>
      <c r="M13" s="138">
        <v>25000</v>
      </c>
      <c r="N13" s="57">
        <f aca="true" t="shared" si="3" ref="N13:N29">SUM(B13:M13)</f>
        <v>212000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4525</v>
      </c>
      <c r="C15" s="138">
        <v>4525</v>
      </c>
      <c r="D15" s="138">
        <v>4525</v>
      </c>
      <c r="E15" s="138">
        <v>4525</v>
      </c>
      <c r="F15" s="138">
        <v>4525</v>
      </c>
      <c r="G15" s="138">
        <v>4525</v>
      </c>
      <c r="H15" s="138">
        <v>4525</v>
      </c>
      <c r="I15" s="138">
        <v>9050</v>
      </c>
      <c r="J15" s="138">
        <v>9050</v>
      </c>
      <c r="K15" s="138">
        <v>9050</v>
      </c>
      <c r="L15" s="138">
        <v>9050</v>
      </c>
      <c r="M15" s="138">
        <v>9050</v>
      </c>
      <c r="N15" s="57">
        <f t="shared" si="3"/>
        <v>76925</v>
      </c>
    </row>
    <row r="16" spans="1:14" ht="15">
      <c r="A16" s="132" t="s">
        <v>190</v>
      </c>
      <c r="B16" s="138">
        <v>4525</v>
      </c>
      <c r="C16" s="138">
        <v>4525</v>
      </c>
      <c r="D16" s="138">
        <v>4525</v>
      </c>
      <c r="E16" s="138">
        <v>4525</v>
      </c>
      <c r="F16" s="138">
        <v>4525</v>
      </c>
      <c r="G16" s="138">
        <v>4525</v>
      </c>
      <c r="H16" s="138">
        <v>4525</v>
      </c>
      <c r="I16" s="138">
        <v>4525</v>
      </c>
      <c r="J16" s="138">
        <v>4525</v>
      </c>
      <c r="K16" s="138">
        <v>9050</v>
      </c>
      <c r="L16" s="138">
        <v>9050</v>
      </c>
      <c r="M16" s="138">
        <v>9050</v>
      </c>
      <c r="N16" s="57">
        <f t="shared" si="3"/>
        <v>67875</v>
      </c>
    </row>
    <row r="17" spans="1:14" ht="15">
      <c r="A17" s="132" t="s">
        <v>191</v>
      </c>
      <c r="B17" s="138">
        <v>4525</v>
      </c>
      <c r="C17" s="138">
        <v>4525</v>
      </c>
      <c r="D17" s="138">
        <v>4525</v>
      </c>
      <c r="E17" s="138">
        <v>4525</v>
      </c>
      <c r="F17" s="138">
        <v>4525</v>
      </c>
      <c r="G17" s="138">
        <v>4525</v>
      </c>
      <c r="H17" s="138">
        <v>4525</v>
      </c>
      <c r="I17" s="138">
        <v>4525</v>
      </c>
      <c r="J17" s="138">
        <v>4525</v>
      </c>
      <c r="K17" s="138">
        <v>4525</v>
      </c>
      <c r="L17" s="138">
        <v>4525</v>
      </c>
      <c r="M17" s="138">
        <v>9050</v>
      </c>
      <c r="N17" s="57">
        <f t="shared" si="3"/>
        <v>58825</v>
      </c>
    </row>
    <row r="18" spans="1:14" ht="15">
      <c r="A18" s="132" t="s">
        <v>192</v>
      </c>
      <c r="B18" s="138">
        <v>0</v>
      </c>
      <c r="C18" s="138">
        <v>0</v>
      </c>
      <c r="D18" s="138">
        <v>0</v>
      </c>
      <c r="E18" s="138">
        <v>0</v>
      </c>
      <c r="F18" s="138">
        <v>4525</v>
      </c>
      <c r="G18" s="138">
        <v>4525</v>
      </c>
      <c r="H18" s="138">
        <v>4525</v>
      </c>
      <c r="I18" s="138">
        <v>4525</v>
      </c>
      <c r="J18" s="138">
        <v>4525</v>
      </c>
      <c r="K18" s="138">
        <v>4525</v>
      </c>
      <c r="L18" s="138">
        <v>4525</v>
      </c>
      <c r="M18" s="138">
        <v>4525</v>
      </c>
      <c r="N18" s="57">
        <f>SUM(B18:M18)</f>
        <v>36200</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45">
        <v>4400</v>
      </c>
      <c r="C20" s="145">
        <v>4400</v>
      </c>
      <c r="D20" s="145">
        <v>4400</v>
      </c>
      <c r="E20" s="145">
        <v>4400</v>
      </c>
      <c r="F20" s="144">
        <v>8800</v>
      </c>
      <c r="G20" s="144">
        <v>8800</v>
      </c>
      <c r="H20" s="144">
        <v>8800</v>
      </c>
      <c r="I20" s="144">
        <v>8800</v>
      </c>
      <c r="J20" s="144">
        <v>8800</v>
      </c>
      <c r="K20" s="144">
        <v>8800</v>
      </c>
      <c r="L20" s="144">
        <v>8800</v>
      </c>
      <c r="M20" s="144">
        <v>8800</v>
      </c>
      <c r="N20" s="57">
        <f>SUM(B20:M20)</f>
        <v>88000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20000</v>
      </c>
      <c r="C25" s="138">
        <v>20000</v>
      </c>
      <c r="D25" s="138">
        <v>20000</v>
      </c>
      <c r="E25" s="138">
        <v>20000</v>
      </c>
      <c r="F25" s="138">
        <v>20000</v>
      </c>
      <c r="G25" s="138">
        <v>20000</v>
      </c>
      <c r="H25" s="138">
        <v>20000</v>
      </c>
      <c r="I25" s="138">
        <v>20000</v>
      </c>
      <c r="J25" s="138">
        <v>20000</v>
      </c>
      <c r="K25" s="138">
        <v>20000</v>
      </c>
      <c r="L25" s="138">
        <v>20000</v>
      </c>
      <c r="M25" s="138">
        <v>20000</v>
      </c>
      <c r="N25" s="57">
        <f t="shared" si="3"/>
        <v>240000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1134.442</v>
      </c>
      <c r="C27" s="138">
        <f aca="true" t="shared" si="4" ref="C27:M27">(C4*300*30*0.007469)*2+1000</f>
        <v>1134.442</v>
      </c>
      <c r="D27" s="138">
        <f t="shared" si="4"/>
        <v>1134.442</v>
      </c>
      <c r="E27" s="138">
        <f t="shared" si="4"/>
        <v>1134.442</v>
      </c>
      <c r="F27" s="138">
        <f t="shared" si="4"/>
        <v>1134.442</v>
      </c>
      <c r="G27" s="138">
        <f t="shared" si="4"/>
        <v>1134.442</v>
      </c>
      <c r="H27" s="138">
        <f t="shared" si="4"/>
        <v>1134.442</v>
      </c>
      <c r="I27" s="138">
        <f t="shared" si="4"/>
        <v>1268.884</v>
      </c>
      <c r="J27" s="138">
        <f t="shared" si="4"/>
        <v>1268.884</v>
      </c>
      <c r="K27" s="138">
        <f t="shared" si="4"/>
        <v>1268.884</v>
      </c>
      <c r="L27" s="138">
        <f t="shared" si="4"/>
        <v>1268.884</v>
      </c>
      <c r="M27" s="138">
        <f t="shared" si="4"/>
        <v>1268.884</v>
      </c>
      <c r="N27" s="57">
        <f t="shared" si="3"/>
        <v>14285.514</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SUM(B30:M30)</f>
        <v>20004</v>
      </c>
    </row>
    <row r="31" spans="1:14" ht="15">
      <c r="A31" s="132" t="s">
        <v>198</v>
      </c>
      <c r="B31" s="138">
        <f>6500+2*(B5/2)</f>
        <v>7838.37</v>
      </c>
      <c r="C31" s="138">
        <f aca="true" t="shared" si="5" ref="C31:M31">6500+2*(C5/2)</f>
        <v>7972.206999999999</v>
      </c>
      <c r="D31" s="138">
        <f t="shared" si="5"/>
        <v>8119.4277</v>
      </c>
      <c r="E31" s="138">
        <f t="shared" si="5"/>
        <v>8281.37047</v>
      </c>
      <c r="F31" s="138">
        <f t="shared" si="5"/>
        <v>8459.507517</v>
      </c>
      <c r="G31" s="138">
        <f t="shared" si="5"/>
        <v>8655.4582687</v>
      </c>
      <c r="H31" s="138">
        <f t="shared" si="5"/>
        <v>8871.00409557</v>
      </c>
      <c r="I31" s="138">
        <f t="shared" si="5"/>
        <v>9108.104505127001</v>
      </c>
      <c r="J31" s="138">
        <f t="shared" si="5"/>
        <v>9368.9149556397</v>
      </c>
      <c r="K31" s="138">
        <f t="shared" si="5"/>
        <v>9655.80645120367</v>
      </c>
      <c r="L31" s="138">
        <f t="shared" si="5"/>
        <v>9971.387096324039</v>
      </c>
      <c r="M31" s="138">
        <f t="shared" si="5"/>
        <v>10318.525805956444</v>
      </c>
      <c r="N31" s="34">
        <f>SUM(B31:M31)</f>
        <v>106620.08386552084</v>
      </c>
    </row>
    <row r="32" spans="1:14" ht="15">
      <c r="A32" s="133" t="s">
        <v>59</v>
      </c>
      <c r="B32" s="138">
        <f aca="true" t="shared" si="6" ref="B32:M32">3400+1*(B4/2)</f>
        <v>3400.5</v>
      </c>
      <c r="C32" s="138">
        <f t="shared" si="6"/>
        <v>3400.5</v>
      </c>
      <c r="D32" s="138">
        <f t="shared" si="6"/>
        <v>3400.5</v>
      </c>
      <c r="E32" s="138">
        <f t="shared" si="6"/>
        <v>3400.5</v>
      </c>
      <c r="F32" s="138">
        <f t="shared" si="6"/>
        <v>3400.5</v>
      </c>
      <c r="G32" s="138">
        <f t="shared" si="6"/>
        <v>3400.5</v>
      </c>
      <c r="H32" s="138">
        <f t="shared" si="6"/>
        <v>3400.5</v>
      </c>
      <c r="I32" s="138">
        <f t="shared" si="6"/>
        <v>3401</v>
      </c>
      <c r="J32" s="138">
        <f t="shared" si="6"/>
        <v>3401</v>
      </c>
      <c r="K32" s="138">
        <f t="shared" si="6"/>
        <v>3401</v>
      </c>
      <c r="L32" s="138">
        <f t="shared" si="6"/>
        <v>3401</v>
      </c>
      <c r="M32" s="138">
        <f t="shared" si="6"/>
        <v>3401</v>
      </c>
      <c r="N32" s="34">
        <f>SUM(B32:M32)</f>
        <v>40808.5</v>
      </c>
    </row>
    <row r="33" spans="1:14" ht="15.75" thickBot="1">
      <c r="A33" s="133" t="s">
        <v>58</v>
      </c>
      <c r="B33" s="138">
        <f aca="true" t="shared" si="7" ref="B33:M33">3400+1*(B5/2)</f>
        <v>4069.185</v>
      </c>
      <c r="C33" s="138">
        <f t="shared" si="7"/>
        <v>4136.1035</v>
      </c>
      <c r="D33" s="138">
        <f t="shared" si="7"/>
        <v>4209.71385</v>
      </c>
      <c r="E33" s="138">
        <f t="shared" si="7"/>
        <v>4290.685235</v>
      </c>
      <c r="F33" s="138">
        <f t="shared" si="7"/>
        <v>4379.7537585</v>
      </c>
      <c r="G33" s="138">
        <f t="shared" si="7"/>
        <v>4477.72913435</v>
      </c>
      <c r="H33" s="138">
        <f t="shared" si="7"/>
        <v>4585.502047785</v>
      </c>
      <c r="I33" s="138">
        <f t="shared" si="7"/>
        <v>4704.052252563501</v>
      </c>
      <c r="J33" s="138">
        <f t="shared" si="7"/>
        <v>4834.45747781985</v>
      </c>
      <c r="K33" s="138">
        <f t="shared" si="7"/>
        <v>4977.903225601835</v>
      </c>
      <c r="L33" s="138">
        <f t="shared" si="7"/>
        <v>5135.693548162019</v>
      </c>
      <c r="M33" s="138">
        <f t="shared" si="7"/>
        <v>5309.262902978222</v>
      </c>
      <c r="N33" s="34">
        <f>SUM(B33:M33)</f>
        <v>55110.04193276042</v>
      </c>
    </row>
    <row r="34" spans="1:14" ht="15.75" thickBot="1">
      <c r="A34" s="134" t="s">
        <v>94</v>
      </c>
      <c r="B34" s="22">
        <f aca="true" t="shared" si="8" ref="B34:M34">B7-SUM(B9:B33)</f>
        <v>-39582.29699999996</v>
      </c>
      <c r="C34" s="22">
        <f t="shared" si="8"/>
        <v>-31752.832500000077</v>
      </c>
      <c r="D34" s="22">
        <f t="shared" si="8"/>
        <v>-23140.42155000003</v>
      </c>
      <c r="E34" s="22">
        <f t="shared" si="8"/>
        <v>-213666.76950499997</v>
      </c>
      <c r="F34" s="22">
        <f t="shared" si="8"/>
        <v>-34170.7522555</v>
      </c>
      <c r="G34" s="22">
        <f t="shared" si="8"/>
        <v>-22707.63328104996</v>
      </c>
      <c r="H34" s="22">
        <f t="shared" si="8"/>
        <v>-10098.20240915491</v>
      </c>
      <c r="I34" s="22">
        <f t="shared" si="8"/>
        <v>-887.7704500704422</v>
      </c>
      <c r="J34" s="22">
        <f t="shared" si="8"/>
        <v>14369.640904922388</v>
      </c>
      <c r="K34" s="22">
        <f t="shared" si="8"/>
        <v>26627.793395414832</v>
      </c>
      <c r="L34" s="22">
        <f t="shared" si="8"/>
        <v>45089.26113495638</v>
      </c>
      <c r="M34" s="126">
        <f t="shared" si="8"/>
        <v>60871.87564845197</v>
      </c>
      <c r="N34" s="127">
        <f>SUM(B34:M34)</f>
        <v>-229048.1078670298</v>
      </c>
    </row>
    <row r="37" spans="1:14" ht="15">
      <c r="A37" s="173" t="s">
        <v>211</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8" r:id="rId1"/>
  <headerFooter>
    <oddHeader>&amp;C&amp;"-,Bold"&amp;36&amp;UProject Victories Project Selection Tool</oddHeader>
    <oddFooter>&amp;CCopyright The Volpe Consortium,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3">
      <selection activeCell="A2" sqref="A2"/>
    </sheetView>
  </sheetViews>
  <sheetFormatPr defaultColWidth="9.140625" defaultRowHeight="15"/>
  <cols>
    <col min="1" max="1" width="28.28125" style="0" customWidth="1"/>
    <col min="2" max="13" width="14.28125" style="0" bestFit="1" customWidth="1"/>
    <col min="14" max="14" width="15.28125" style="0" bestFit="1" customWidth="1"/>
  </cols>
  <sheetData>
    <row r="1" spans="1:14" ht="15">
      <c r="A1" s="56"/>
      <c r="B1" s="114" t="s">
        <v>15</v>
      </c>
      <c r="C1" s="114" t="s">
        <v>35</v>
      </c>
      <c r="D1" s="114"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f>INT(B5/Calcs!$B$21)+1</f>
        <v>2</v>
      </c>
      <c r="C4" s="140">
        <f>INT(C5/Calcs!$B$21)+1</f>
        <v>2</v>
      </c>
      <c r="D4" s="140">
        <v>2</v>
      </c>
      <c r="E4" s="140">
        <v>2</v>
      </c>
      <c r="F4" s="140">
        <f>INT(F5/Calcs!$B$21)+1</f>
        <v>3</v>
      </c>
      <c r="G4" s="140">
        <f>INT(G5/Calcs!$B$21)+1</f>
        <v>3</v>
      </c>
      <c r="H4" s="140">
        <f>INT(H5/Calcs!$B$21)+1</f>
        <v>3</v>
      </c>
      <c r="I4" s="140">
        <f>INT(I5/Calcs!$B$21)+1</f>
        <v>3</v>
      </c>
      <c r="J4" s="140">
        <f>INT(J5/Calcs!$B$21)+1</f>
        <v>3</v>
      </c>
      <c r="K4" s="140">
        <f>INT(K5/Calcs!$B$21)+1</f>
        <v>3</v>
      </c>
      <c r="L4" s="140">
        <v>3</v>
      </c>
      <c r="M4" s="140">
        <v>3</v>
      </c>
      <c r="N4" s="74"/>
    </row>
    <row r="5" spans="1:14" ht="15">
      <c r="A5" s="132" t="s">
        <v>204</v>
      </c>
      <c r="B5" s="136">
        <f>'FY 2 Most Likely'!M5*1.05</f>
        <v>4009.452096254265</v>
      </c>
      <c r="C5" s="136">
        <f>B5*1.05</f>
        <v>4209.924701066979</v>
      </c>
      <c r="D5" s="136">
        <f aca="true" t="shared" si="0" ref="D5:M5">C5*1.05</f>
        <v>4420.4209361203275</v>
      </c>
      <c r="E5" s="136">
        <f t="shared" si="0"/>
        <v>4641.441982926344</v>
      </c>
      <c r="F5" s="136">
        <f t="shared" si="0"/>
        <v>4873.514082072662</v>
      </c>
      <c r="G5" s="136">
        <f t="shared" si="0"/>
        <v>5117.1897861762955</v>
      </c>
      <c r="H5" s="136">
        <f t="shared" si="0"/>
        <v>5373.04927548511</v>
      </c>
      <c r="I5" s="136">
        <f t="shared" si="0"/>
        <v>5641.701739259366</v>
      </c>
      <c r="J5" s="136">
        <f t="shared" si="0"/>
        <v>5923.786826222335</v>
      </c>
      <c r="K5" s="136">
        <f t="shared" si="0"/>
        <v>6219.976167533451</v>
      </c>
      <c r="L5" s="136">
        <f t="shared" si="0"/>
        <v>6530.974975910124</v>
      </c>
      <c r="M5" s="136">
        <f t="shared" si="0"/>
        <v>6857.52372470563</v>
      </c>
      <c r="N5" s="116">
        <f>SUM(B5:M5)</f>
        <v>63818.95629373289</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793871.5150583445</v>
      </c>
      <c r="C7" s="30">
        <f aca="true" t="shared" si="1" ref="C7:M7">C5*$D$3</f>
        <v>833565.0908112618</v>
      </c>
      <c r="D7" s="30">
        <f t="shared" si="1"/>
        <v>875243.3453518249</v>
      </c>
      <c r="E7" s="30">
        <f t="shared" si="1"/>
        <v>919005.5126194161</v>
      </c>
      <c r="F7" s="30">
        <f t="shared" si="1"/>
        <v>964955.7882503871</v>
      </c>
      <c r="G7" s="30">
        <f t="shared" si="1"/>
        <v>1013203.5776629065</v>
      </c>
      <c r="H7" s="30">
        <f t="shared" si="1"/>
        <v>1063863.756546052</v>
      </c>
      <c r="I7" s="30">
        <f t="shared" si="1"/>
        <v>1117056.9443733545</v>
      </c>
      <c r="J7" s="30">
        <f t="shared" si="1"/>
        <v>1172909.7915920222</v>
      </c>
      <c r="K7" s="30">
        <f t="shared" si="1"/>
        <v>1231555.2811716234</v>
      </c>
      <c r="L7" s="30">
        <f t="shared" si="1"/>
        <v>1293133.0452302045</v>
      </c>
      <c r="M7" s="30">
        <f t="shared" si="1"/>
        <v>1357789.6974917147</v>
      </c>
      <c r="N7" s="31">
        <f>SUM(B7:M7)</f>
        <v>12636153.346159112</v>
      </c>
    </row>
    <row r="8" spans="1:14" ht="15">
      <c r="A8" s="122"/>
      <c r="B8" s="35"/>
      <c r="C8" s="35"/>
      <c r="D8" s="35"/>
      <c r="E8" s="35"/>
      <c r="F8" s="35"/>
      <c r="G8" s="35"/>
      <c r="H8" s="35"/>
      <c r="I8" s="35"/>
      <c r="J8" s="35"/>
      <c r="K8" s="35"/>
      <c r="L8" s="35"/>
      <c r="M8" s="35"/>
      <c r="N8" s="36"/>
    </row>
    <row r="9" spans="1:14" ht="15">
      <c r="A9" s="132" t="s">
        <v>56</v>
      </c>
      <c r="B9" s="21">
        <f>B5*$B$3</f>
        <v>553304.3892830886</v>
      </c>
      <c r="C9" s="21">
        <f aca="true" t="shared" si="2" ref="C9:M9">C5*$B$3</f>
        <v>580969.6087472431</v>
      </c>
      <c r="D9" s="21">
        <f t="shared" si="2"/>
        <v>610018.0891846052</v>
      </c>
      <c r="E9" s="21">
        <f t="shared" si="2"/>
        <v>640518.9936438355</v>
      </c>
      <c r="F9" s="21">
        <f t="shared" si="2"/>
        <v>672544.9433260274</v>
      </c>
      <c r="G9" s="21">
        <f t="shared" si="2"/>
        <v>706172.1904923287</v>
      </c>
      <c r="H9" s="21">
        <f t="shared" si="2"/>
        <v>741480.8000169452</v>
      </c>
      <c r="I9" s="21">
        <f t="shared" si="2"/>
        <v>778554.8400177925</v>
      </c>
      <c r="J9" s="21">
        <f t="shared" si="2"/>
        <v>817482.5820186822</v>
      </c>
      <c r="K9" s="21">
        <f t="shared" si="2"/>
        <v>858356.7111196163</v>
      </c>
      <c r="L9" s="21">
        <f t="shared" si="2"/>
        <v>901274.5466755971</v>
      </c>
      <c r="M9" s="21">
        <f t="shared" si="2"/>
        <v>946338.274009377</v>
      </c>
      <c r="N9" s="31">
        <f>SUM(B9:M9)</f>
        <v>8807015.96853514</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200000</v>
      </c>
      <c r="C11" s="138">
        <v>0</v>
      </c>
      <c r="D11" s="138">
        <v>0</v>
      </c>
      <c r="E11" s="138">
        <v>0</v>
      </c>
      <c r="F11" s="138">
        <v>0</v>
      </c>
      <c r="G11" s="138">
        <v>0</v>
      </c>
      <c r="H11" s="138">
        <v>0</v>
      </c>
      <c r="I11" s="138">
        <v>0</v>
      </c>
      <c r="J11" s="138">
        <v>200000</v>
      </c>
      <c r="K11" s="138">
        <v>0</v>
      </c>
      <c r="L11" s="138">
        <v>0</v>
      </c>
      <c r="M11" s="138">
        <v>0</v>
      </c>
      <c r="N11" s="57">
        <f>SUM(B11:M11)</f>
        <v>400000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aca="true" t="shared" si="3" ref="N14:N32">SUM(B14:M14)</f>
        <v>0</v>
      </c>
    </row>
    <row r="15" spans="1:14" ht="15">
      <c r="A15" s="132" t="s">
        <v>189</v>
      </c>
      <c r="B15" s="138">
        <v>9050</v>
      </c>
      <c r="C15" s="138">
        <v>9050</v>
      </c>
      <c r="D15" s="138">
        <v>9050</v>
      </c>
      <c r="E15" s="138">
        <v>9050</v>
      </c>
      <c r="F15" s="138">
        <v>13575</v>
      </c>
      <c r="G15" s="138">
        <v>13575</v>
      </c>
      <c r="H15" s="138">
        <v>13575</v>
      </c>
      <c r="I15" s="138">
        <v>13575</v>
      </c>
      <c r="J15" s="138">
        <v>13575</v>
      </c>
      <c r="K15" s="138">
        <v>13575</v>
      </c>
      <c r="L15" s="138">
        <v>13575</v>
      </c>
      <c r="M15" s="138">
        <v>13575</v>
      </c>
      <c r="N15" s="57">
        <f t="shared" si="3"/>
        <v>144800</v>
      </c>
    </row>
    <row r="16" spans="1:14" ht="15">
      <c r="A16" s="132" t="s">
        <v>190</v>
      </c>
      <c r="B16" s="138">
        <v>9050</v>
      </c>
      <c r="C16" s="138">
        <v>9050</v>
      </c>
      <c r="D16" s="138">
        <v>9050</v>
      </c>
      <c r="E16" s="138">
        <v>9050</v>
      </c>
      <c r="F16" s="138">
        <v>9050</v>
      </c>
      <c r="G16" s="138">
        <v>9050</v>
      </c>
      <c r="H16" s="138">
        <v>9050</v>
      </c>
      <c r="I16" s="138">
        <v>13575</v>
      </c>
      <c r="J16" s="138">
        <v>13575</v>
      </c>
      <c r="K16" s="138">
        <v>13575</v>
      </c>
      <c r="L16" s="138">
        <v>13575</v>
      </c>
      <c r="M16" s="138">
        <v>13575</v>
      </c>
      <c r="N16" s="57">
        <f t="shared" si="3"/>
        <v>131225</v>
      </c>
    </row>
    <row r="17" spans="1:14" ht="15">
      <c r="A17" s="132" t="s">
        <v>191</v>
      </c>
      <c r="B17" s="138">
        <v>9050</v>
      </c>
      <c r="C17" s="138">
        <v>9050</v>
      </c>
      <c r="D17" s="138">
        <v>9050</v>
      </c>
      <c r="E17" s="138">
        <v>9050</v>
      </c>
      <c r="F17" s="138">
        <v>9050</v>
      </c>
      <c r="G17" s="138">
        <v>9050</v>
      </c>
      <c r="H17" s="138">
        <v>9050</v>
      </c>
      <c r="I17" s="138">
        <v>9050</v>
      </c>
      <c r="J17" s="138">
        <v>9050</v>
      </c>
      <c r="K17" s="138">
        <v>13575</v>
      </c>
      <c r="L17" s="138">
        <v>13575</v>
      </c>
      <c r="M17" s="138">
        <v>13575</v>
      </c>
      <c r="N17" s="57">
        <f t="shared" si="3"/>
        <v>122175</v>
      </c>
    </row>
    <row r="18" spans="1:14" ht="15">
      <c r="A18" s="132" t="s">
        <v>192</v>
      </c>
      <c r="B18" s="138">
        <v>4525</v>
      </c>
      <c r="C18" s="138">
        <v>9050</v>
      </c>
      <c r="D18" s="138">
        <v>9050</v>
      </c>
      <c r="E18" s="138">
        <v>9050</v>
      </c>
      <c r="F18" s="138">
        <v>9050</v>
      </c>
      <c r="G18" s="138">
        <v>9050</v>
      </c>
      <c r="H18" s="138">
        <v>9050</v>
      </c>
      <c r="I18" s="138">
        <v>9050</v>
      </c>
      <c r="J18" s="138">
        <v>9050</v>
      </c>
      <c r="K18" s="138">
        <v>9050</v>
      </c>
      <c r="L18" s="138">
        <v>9050</v>
      </c>
      <c r="M18" s="138">
        <v>13575</v>
      </c>
      <c r="N18" s="57">
        <f>SUM(B18:M18)</f>
        <v>108600</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44">
        <v>8800</v>
      </c>
      <c r="C20" s="144">
        <v>8800</v>
      </c>
      <c r="D20" s="144">
        <v>8800</v>
      </c>
      <c r="E20" s="144">
        <v>8800</v>
      </c>
      <c r="F20" s="144">
        <v>8800</v>
      </c>
      <c r="G20" s="144">
        <v>8800</v>
      </c>
      <c r="H20" s="144">
        <v>8800</v>
      </c>
      <c r="I20" s="144">
        <v>8800</v>
      </c>
      <c r="J20" s="144">
        <v>8800</v>
      </c>
      <c r="K20" s="144">
        <v>8800</v>
      </c>
      <c r="L20" s="144">
        <v>8800</v>
      </c>
      <c r="M20" s="144">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1268.884</v>
      </c>
      <c r="C27" s="138">
        <f aca="true" t="shared" si="4" ref="C27:M27">(C4*300*30*0.007469)*2+1000</f>
        <v>1268.884</v>
      </c>
      <c r="D27" s="138">
        <f t="shared" si="4"/>
        <v>1268.884</v>
      </c>
      <c r="E27" s="138">
        <f t="shared" si="4"/>
        <v>1268.884</v>
      </c>
      <c r="F27" s="138">
        <f t="shared" si="4"/>
        <v>1403.326</v>
      </c>
      <c r="G27" s="138">
        <f t="shared" si="4"/>
        <v>1403.326</v>
      </c>
      <c r="H27" s="138">
        <f t="shared" si="4"/>
        <v>1403.326</v>
      </c>
      <c r="I27" s="138">
        <f t="shared" si="4"/>
        <v>1403.326</v>
      </c>
      <c r="J27" s="138">
        <f t="shared" si="4"/>
        <v>1403.326</v>
      </c>
      <c r="K27" s="138">
        <f t="shared" si="4"/>
        <v>1403.326</v>
      </c>
      <c r="L27" s="138">
        <f t="shared" si="4"/>
        <v>1403.326</v>
      </c>
      <c r="M27" s="138">
        <f t="shared" si="4"/>
        <v>1403.326</v>
      </c>
      <c r="N27" s="57">
        <f t="shared" si="3"/>
        <v>16302.144000000004</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SUM(B30:M30)</f>
        <v>20004</v>
      </c>
    </row>
    <row r="31" spans="1:14" ht="15">
      <c r="A31" s="132" t="s">
        <v>198</v>
      </c>
      <c r="B31" s="138">
        <f>6500+2*(B5/2)</f>
        <v>10509.452096254265</v>
      </c>
      <c r="C31" s="138">
        <f aca="true" t="shared" si="5" ref="C31:M31">6500+2*(C5/2)</f>
        <v>10709.924701066979</v>
      </c>
      <c r="D31" s="138">
        <f t="shared" si="5"/>
        <v>10920.420936120328</v>
      </c>
      <c r="E31" s="138">
        <f t="shared" si="5"/>
        <v>11141.441982926344</v>
      </c>
      <c r="F31" s="138">
        <f t="shared" si="5"/>
        <v>11373.514082072663</v>
      </c>
      <c r="G31" s="138">
        <f t="shared" si="5"/>
        <v>11617.189786176295</v>
      </c>
      <c r="H31" s="138">
        <f t="shared" si="5"/>
        <v>11873.049275485111</v>
      </c>
      <c r="I31" s="138">
        <f t="shared" si="5"/>
        <v>12141.701739259366</v>
      </c>
      <c r="J31" s="138">
        <f t="shared" si="5"/>
        <v>12423.786826222335</v>
      </c>
      <c r="K31" s="138">
        <f t="shared" si="5"/>
        <v>12719.976167533452</v>
      </c>
      <c r="L31" s="138">
        <f t="shared" si="5"/>
        <v>13030.974975910125</v>
      </c>
      <c r="M31" s="138">
        <f t="shared" si="5"/>
        <v>13357.52372470563</v>
      </c>
      <c r="N31" s="57">
        <f t="shared" si="3"/>
        <v>141818.9562937329</v>
      </c>
    </row>
    <row r="32" spans="1:14" ht="15">
      <c r="A32" s="133" t="s">
        <v>59</v>
      </c>
      <c r="B32" s="138">
        <f>3400+1*(B4/2)</f>
        <v>3401</v>
      </c>
      <c r="C32" s="138">
        <f aca="true" t="shared" si="6" ref="C32:M33">3400+1*(C4/2)</f>
        <v>3401</v>
      </c>
      <c r="D32" s="138">
        <f t="shared" si="6"/>
        <v>3401</v>
      </c>
      <c r="E32" s="138">
        <f t="shared" si="6"/>
        <v>3401</v>
      </c>
      <c r="F32" s="138">
        <f t="shared" si="6"/>
        <v>3401.5</v>
      </c>
      <c r="G32" s="138">
        <f t="shared" si="6"/>
        <v>3401.5</v>
      </c>
      <c r="H32" s="138">
        <f t="shared" si="6"/>
        <v>3401.5</v>
      </c>
      <c r="I32" s="138">
        <f t="shared" si="6"/>
        <v>3401.5</v>
      </c>
      <c r="J32" s="138">
        <f t="shared" si="6"/>
        <v>3401.5</v>
      </c>
      <c r="K32" s="138">
        <f t="shared" si="6"/>
        <v>3401.5</v>
      </c>
      <c r="L32" s="138">
        <f t="shared" si="6"/>
        <v>3401.5</v>
      </c>
      <c r="M32" s="138">
        <f t="shared" si="6"/>
        <v>3401.5</v>
      </c>
      <c r="N32" s="57">
        <f t="shared" si="3"/>
        <v>40816</v>
      </c>
    </row>
    <row r="33" spans="1:14" ht="15.75" thickBot="1">
      <c r="A33" s="133" t="s">
        <v>58</v>
      </c>
      <c r="B33" s="138">
        <f>3400+1*(B5/2)</f>
        <v>5404.726048127132</v>
      </c>
      <c r="C33" s="138">
        <f t="shared" si="6"/>
        <v>5504.962350533489</v>
      </c>
      <c r="D33" s="138">
        <f t="shared" si="6"/>
        <v>5610.210468060164</v>
      </c>
      <c r="E33" s="138">
        <f t="shared" si="6"/>
        <v>5720.720991463172</v>
      </c>
      <c r="F33" s="138">
        <f t="shared" si="6"/>
        <v>5836.757041036331</v>
      </c>
      <c r="G33" s="138">
        <f t="shared" si="6"/>
        <v>5958.594893088148</v>
      </c>
      <c r="H33" s="138">
        <f t="shared" si="6"/>
        <v>6086.524637742556</v>
      </c>
      <c r="I33" s="138">
        <f t="shared" si="6"/>
        <v>6220.850869629683</v>
      </c>
      <c r="J33" s="138">
        <f t="shared" si="6"/>
        <v>6361.893413111167</v>
      </c>
      <c r="K33" s="138">
        <f t="shared" si="6"/>
        <v>6509.988083766726</v>
      </c>
      <c r="L33" s="138">
        <f t="shared" si="6"/>
        <v>6665.4874879550625</v>
      </c>
      <c r="M33" s="138">
        <f t="shared" si="6"/>
        <v>6828.761862352815</v>
      </c>
      <c r="N33" s="34">
        <f>SUM(B33:M33)</f>
        <v>72709.47814686644</v>
      </c>
    </row>
    <row r="34" spans="1:14" ht="15.75" thickBot="1">
      <c r="A34" s="134" t="s">
        <v>94</v>
      </c>
      <c r="B34" s="22">
        <f aca="true" t="shared" si="7" ref="B34:M34">B7-SUM(B9:B33)</f>
        <v>-147958.9363691255</v>
      </c>
      <c r="C34" s="22">
        <f t="shared" si="7"/>
        <v>59243.71101241838</v>
      </c>
      <c r="D34" s="22">
        <f t="shared" si="7"/>
        <v>71557.74076303921</v>
      </c>
      <c r="E34" s="22">
        <f t="shared" si="7"/>
        <v>84487.47200119111</v>
      </c>
      <c r="F34" s="22">
        <f t="shared" si="7"/>
        <v>93403.74780125066</v>
      </c>
      <c r="G34" s="22">
        <f t="shared" si="7"/>
        <v>107658.77649131336</v>
      </c>
      <c r="H34" s="22">
        <f t="shared" si="7"/>
        <v>122626.55661587906</v>
      </c>
      <c r="I34" s="22">
        <f t="shared" si="7"/>
        <v>133817.72574667295</v>
      </c>
      <c r="J34" s="22">
        <f t="shared" si="7"/>
        <v>-49680.29666599352</v>
      </c>
      <c r="K34" s="22">
        <f t="shared" si="7"/>
        <v>163121.77980070678</v>
      </c>
      <c r="L34" s="22">
        <f t="shared" si="7"/>
        <v>181315.21009074245</v>
      </c>
      <c r="M34" s="22">
        <f t="shared" si="7"/>
        <v>195893.31189527945</v>
      </c>
      <c r="N34" s="23">
        <f>SUM(B34:M34)</f>
        <v>1015486.7991833744</v>
      </c>
    </row>
    <row r="37" spans="1:14" ht="15">
      <c r="A37" s="173" t="s">
        <v>212</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3">
      <selection activeCell="A2" sqref="A2"/>
    </sheetView>
  </sheetViews>
  <sheetFormatPr defaultColWidth="9.140625" defaultRowHeight="15"/>
  <cols>
    <col min="1" max="1" width="27.8515625" style="0" customWidth="1"/>
    <col min="2" max="13" width="14.28125" style="0" bestFit="1" customWidth="1"/>
    <col min="14" max="14" width="15.2812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v>4</v>
      </c>
      <c r="C4" s="140">
        <v>4</v>
      </c>
      <c r="D4" s="140">
        <v>4</v>
      </c>
      <c r="E4" s="140">
        <v>4</v>
      </c>
      <c r="F4" s="140">
        <v>4</v>
      </c>
      <c r="G4" s="140">
        <v>4</v>
      </c>
      <c r="H4" s="140">
        <v>5</v>
      </c>
      <c r="I4" s="140">
        <v>5</v>
      </c>
      <c r="J4" s="140">
        <v>5</v>
      </c>
      <c r="K4" s="140">
        <v>5</v>
      </c>
      <c r="L4" s="140">
        <v>5</v>
      </c>
      <c r="M4" s="140">
        <v>6</v>
      </c>
      <c r="N4" s="74"/>
    </row>
    <row r="5" spans="1:14" ht="15">
      <c r="A5" s="132" t="s">
        <v>204</v>
      </c>
      <c r="B5" s="136">
        <f>'FY 3 Most Likely'!M5*1.05</f>
        <v>7200.399910940912</v>
      </c>
      <c r="C5" s="136">
        <f>B5*1.05</f>
        <v>7560.4199064879585</v>
      </c>
      <c r="D5" s="136">
        <f aca="true" t="shared" si="0" ref="D5:M5">C5*1.05</f>
        <v>7938.440901812357</v>
      </c>
      <c r="E5" s="136">
        <f t="shared" si="0"/>
        <v>8335.362946902975</v>
      </c>
      <c r="F5" s="136">
        <f t="shared" si="0"/>
        <v>8752.131094248123</v>
      </c>
      <c r="G5" s="136">
        <f t="shared" si="0"/>
        <v>9189.73764896053</v>
      </c>
      <c r="H5" s="136">
        <f t="shared" si="0"/>
        <v>9649.224531408558</v>
      </c>
      <c r="I5" s="136">
        <f t="shared" si="0"/>
        <v>10131.685757978987</v>
      </c>
      <c r="J5" s="136">
        <f t="shared" si="0"/>
        <v>10638.270045877936</v>
      </c>
      <c r="K5" s="136">
        <f t="shared" si="0"/>
        <v>11170.183548171834</v>
      </c>
      <c r="L5" s="136">
        <f t="shared" si="0"/>
        <v>11728.692725580426</v>
      </c>
      <c r="M5" s="136">
        <f t="shared" si="0"/>
        <v>12315.127361859448</v>
      </c>
      <c r="N5" s="116">
        <f>SUM(B5:M5)</f>
        <v>114609.67638023001</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1425679.1823663006</v>
      </c>
      <c r="C7" s="30">
        <f aca="true" t="shared" si="1" ref="C7:M7">C5*$D$3</f>
        <v>1496963.1414846159</v>
      </c>
      <c r="D7" s="30">
        <f t="shared" si="1"/>
        <v>1571811.2985588466</v>
      </c>
      <c r="E7" s="30">
        <f t="shared" si="1"/>
        <v>1650401.863486789</v>
      </c>
      <c r="F7" s="30">
        <f t="shared" si="1"/>
        <v>1732921.9566611284</v>
      </c>
      <c r="G7" s="30">
        <f t="shared" si="1"/>
        <v>1819568.054494185</v>
      </c>
      <c r="H7" s="30">
        <f t="shared" si="1"/>
        <v>1910546.4572188945</v>
      </c>
      <c r="I7" s="30">
        <f t="shared" si="1"/>
        <v>2006073.7800798393</v>
      </c>
      <c r="J7" s="30">
        <f t="shared" si="1"/>
        <v>2106377.469083831</v>
      </c>
      <c r="K7" s="30">
        <f t="shared" si="1"/>
        <v>2211696.342538023</v>
      </c>
      <c r="L7" s="30">
        <f t="shared" si="1"/>
        <v>2322281.1596649243</v>
      </c>
      <c r="M7" s="30">
        <f t="shared" si="1"/>
        <v>2438395.217648171</v>
      </c>
      <c r="N7" s="31">
        <f>SUM(B7:M7)</f>
        <v>22692715.923285548</v>
      </c>
    </row>
    <row r="8" spans="1:14" ht="15">
      <c r="A8" s="122"/>
      <c r="B8" s="35"/>
      <c r="C8" s="35"/>
      <c r="D8" s="35"/>
      <c r="E8" s="35"/>
      <c r="F8" s="35"/>
      <c r="G8" s="35"/>
      <c r="H8" s="35"/>
      <c r="I8" s="35"/>
      <c r="J8" s="35"/>
      <c r="K8" s="35"/>
      <c r="L8" s="35"/>
      <c r="M8" s="35"/>
      <c r="N8" s="36"/>
    </row>
    <row r="9" spans="1:14" ht="15">
      <c r="A9" s="132" t="s">
        <v>56</v>
      </c>
      <c r="B9" s="21">
        <f>B5*$B$3</f>
        <v>993655.187709846</v>
      </c>
      <c r="C9" s="21">
        <f aca="true" t="shared" si="2" ref="C9:M9">C5*$B$3</f>
        <v>1043337.9470953383</v>
      </c>
      <c r="D9" s="21">
        <f t="shared" si="2"/>
        <v>1095504.8444501052</v>
      </c>
      <c r="E9" s="21">
        <f t="shared" si="2"/>
        <v>1150280.0866726106</v>
      </c>
      <c r="F9" s="21">
        <f t="shared" si="2"/>
        <v>1207794.091006241</v>
      </c>
      <c r="G9" s="21">
        <f t="shared" si="2"/>
        <v>1268183.7955565532</v>
      </c>
      <c r="H9" s="21">
        <f t="shared" si="2"/>
        <v>1331592.985334381</v>
      </c>
      <c r="I9" s="21">
        <f t="shared" si="2"/>
        <v>1398172.6346011</v>
      </c>
      <c r="J9" s="21">
        <f t="shared" si="2"/>
        <v>1468081.2663311553</v>
      </c>
      <c r="K9" s="21">
        <f t="shared" si="2"/>
        <v>1541485.329647713</v>
      </c>
      <c r="L9" s="21">
        <f t="shared" si="2"/>
        <v>1618559.5961300987</v>
      </c>
      <c r="M9" s="21">
        <f t="shared" si="2"/>
        <v>1699487.5759366038</v>
      </c>
      <c r="N9" s="31">
        <f>SUM(B9:M9)</f>
        <v>15816135.340471746</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c r="D11" s="138">
        <v>200000</v>
      </c>
      <c r="E11" s="138">
        <v>0</v>
      </c>
      <c r="F11" s="138">
        <v>0</v>
      </c>
      <c r="G11" s="138">
        <v>0</v>
      </c>
      <c r="H11" s="138">
        <v>0</v>
      </c>
      <c r="I11" s="138">
        <v>200000</v>
      </c>
      <c r="J11" s="138"/>
      <c r="K11" s="138">
        <v>0</v>
      </c>
      <c r="L11" s="138">
        <v>0</v>
      </c>
      <c r="M11" s="138">
        <v>0</v>
      </c>
      <c r="N11" s="57">
        <f>SUM(B11:M11)</f>
        <v>400000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aca="true" t="shared" si="3" ref="N14:N32">SUM(B14:M14)</f>
        <v>0</v>
      </c>
    </row>
    <row r="15" spans="1:14" ht="15">
      <c r="A15" s="132" t="s">
        <v>189</v>
      </c>
      <c r="B15" s="138">
        <v>18100</v>
      </c>
      <c r="C15" s="138">
        <v>18100</v>
      </c>
      <c r="D15" s="138">
        <v>18100</v>
      </c>
      <c r="E15" s="138">
        <v>18100</v>
      </c>
      <c r="F15" s="138">
        <v>18100</v>
      </c>
      <c r="G15" s="138">
        <v>18100</v>
      </c>
      <c r="H15" s="138">
        <v>22625</v>
      </c>
      <c r="I15" s="138">
        <v>22625</v>
      </c>
      <c r="J15" s="138">
        <v>22625</v>
      </c>
      <c r="K15" s="138">
        <v>22625</v>
      </c>
      <c r="L15" s="138">
        <v>22625</v>
      </c>
      <c r="M15" s="138">
        <v>27150</v>
      </c>
      <c r="N15" s="57">
        <f t="shared" si="3"/>
        <v>248875</v>
      </c>
    </row>
    <row r="16" spans="1:14" ht="15">
      <c r="A16" s="132" t="s">
        <v>190</v>
      </c>
      <c r="B16" s="138">
        <v>13575</v>
      </c>
      <c r="C16" s="138">
        <v>13575</v>
      </c>
      <c r="D16" s="138">
        <v>18100</v>
      </c>
      <c r="E16" s="138">
        <v>18100</v>
      </c>
      <c r="F16" s="138">
        <v>18100</v>
      </c>
      <c r="G16" s="138">
        <v>18100</v>
      </c>
      <c r="H16" s="138">
        <v>18100</v>
      </c>
      <c r="I16" s="138">
        <v>18100</v>
      </c>
      <c r="J16" s="138">
        <v>22625</v>
      </c>
      <c r="K16" s="138">
        <v>22625</v>
      </c>
      <c r="L16" s="138">
        <v>22625</v>
      </c>
      <c r="M16" s="138">
        <v>22625</v>
      </c>
      <c r="N16" s="57">
        <f t="shared" si="3"/>
        <v>226250</v>
      </c>
    </row>
    <row r="17" spans="1:14" ht="15">
      <c r="A17" s="132" t="s">
        <v>191</v>
      </c>
      <c r="B17" s="138">
        <v>13575</v>
      </c>
      <c r="C17" s="138">
        <v>13575</v>
      </c>
      <c r="D17" s="138">
        <v>13575</v>
      </c>
      <c r="E17" s="138">
        <v>13575</v>
      </c>
      <c r="F17" s="138">
        <v>18100</v>
      </c>
      <c r="G17" s="138">
        <v>18100</v>
      </c>
      <c r="H17" s="138">
        <v>18100</v>
      </c>
      <c r="I17" s="138">
        <v>18100</v>
      </c>
      <c r="J17" s="138">
        <v>18100</v>
      </c>
      <c r="K17" s="138">
        <v>22625</v>
      </c>
      <c r="L17" s="138">
        <v>22625</v>
      </c>
      <c r="M17" s="138">
        <v>22625</v>
      </c>
      <c r="N17" s="57">
        <f t="shared" si="3"/>
        <v>212675</v>
      </c>
    </row>
    <row r="18" spans="1:14" ht="15">
      <c r="A18" s="132" t="s">
        <v>192</v>
      </c>
      <c r="B18" s="138">
        <v>13575</v>
      </c>
      <c r="C18" s="138">
        <v>13575</v>
      </c>
      <c r="D18" s="138">
        <v>13575</v>
      </c>
      <c r="E18" s="138">
        <v>13575</v>
      </c>
      <c r="F18" s="138">
        <v>13575</v>
      </c>
      <c r="G18" s="138">
        <v>18100</v>
      </c>
      <c r="H18" s="138">
        <v>18100</v>
      </c>
      <c r="I18" s="138">
        <v>18100</v>
      </c>
      <c r="J18" s="138">
        <v>18100</v>
      </c>
      <c r="K18" s="138">
        <v>18100</v>
      </c>
      <c r="L18" s="138">
        <v>22625</v>
      </c>
      <c r="M18" s="138">
        <v>22625</v>
      </c>
      <c r="N18" s="57">
        <f>SUM(B18:M18)</f>
        <v>203625</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44">
        <v>8800</v>
      </c>
      <c r="C20" s="144">
        <v>8800</v>
      </c>
      <c r="D20" s="144">
        <v>8800</v>
      </c>
      <c r="E20" s="144">
        <v>8800</v>
      </c>
      <c r="F20" s="144">
        <v>8800</v>
      </c>
      <c r="G20" s="144">
        <v>8800</v>
      </c>
      <c r="H20" s="144">
        <v>8800</v>
      </c>
      <c r="I20" s="144">
        <v>8800</v>
      </c>
      <c r="J20" s="144">
        <v>8800</v>
      </c>
      <c r="K20" s="144">
        <v>8800</v>
      </c>
      <c r="L20" s="144">
        <v>8800</v>
      </c>
      <c r="M20" s="144">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1537.768</v>
      </c>
      <c r="C27" s="138">
        <f aca="true" t="shared" si="4" ref="C27:M27">(C4*300*30*0.007469)*2+1000</f>
        <v>1537.768</v>
      </c>
      <c r="D27" s="138">
        <f t="shared" si="4"/>
        <v>1537.768</v>
      </c>
      <c r="E27" s="138">
        <f t="shared" si="4"/>
        <v>1537.768</v>
      </c>
      <c r="F27" s="138">
        <f t="shared" si="4"/>
        <v>1537.768</v>
      </c>
      <c r="G27" s="138">
        <f t="shared" si="4"/>
        <v>1537.768</v>
      </c>
      <c r="H27" s="138">
        <f t="shared" si="4"/>
        <v>1672.21</v>
      </c>
      <c r="I27" s="138">
        <f t="shared" si="4"/>
        <v>1672.21</v>
      </c>
      <c r="J27" s="138">
        <f t="shared" si="4"/>
        <v>1672.21</v>
      </c>
      <c r="K27" s="138">
        <f t="shared" si="4"/>
        <v>1672.21</v>
      </c>
      <c r="L27" s="138">
        <f t="shared" si="4"/>
        <v>1672.21</v>
      </c>
      <c r="M27" s="138">
        <f t="shared" si="4"/>
        <v>1806.652</v>
      </c>
      <c r="N27" s="57">
        <f t="shared" si="3"/>
        <v>19394.309999999998</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SUM(B30:M30)</f>
        <v>20004</v>
      </c>
    </row>
    <row r="31" spans="1:14" ht="15">
      <c r="A31" s="132" t="s">
        <v>198</v>
      </c>
      <c r="B31" s="138">
        <f>6500+2*(B5/2)</f>
        <v>13700.399910940912</v>
      </c>
      <c r="C31" s="138">
        <f aca="true" t="shared" si="5" ref="C31:M31">6500+2*(C5/2)</f>
        <v>14060.419906487958</v>
      </c>
      <c r="D31" s="138">
        <f t="shared" si="5"/>
        <v>14438.440901812357</v>
      </c>
      <c r="E31" s="138">
        <f t="shared" si="5"/>
        <v>14835.362946902975</v>
      </c>
      <c r="F31" s="138">
        <f t="shared" si="5"/>
        <v>15252.131094248123</v>
      </c>
      <c r="G31" s="138">
        <f t="shared" si="5"/>
        <v>15689.73764896053</v>
      </c>
      <c r="H31" s="138">
        <f t="shared" si="5"/>
        <v>16149.224531408558</v>
      </c>
      <c r="I31" s="138">
        <f t="shared" si="5"/>
        <v>16631.685757978987</v>
      </c>
      <c r="J31" s="138">
        <f t="shared" si="5"/>
        <v>17138.270045877936</v>
      </c>
      <c r="K31" s="138">
        <f t="shared" si="5"/>
        <v>17670.183548171834</v>
      </c>
      <c r="L31" s="138">
        <f t="shared" si="5"/>
        <v>18228.692725580426</v>
      </c>
      <c r="M31" s="138">
        <f t="shared" si="5"/>
        <v>18815.12736185945</v>
      </c>
      <c r="N31" s="57">
        <f t="shared" si="3"/>
        <v>192609.67638023003</v>
      </c>
    </row>
    <row r="32" spans="1:14" ht="15">
      <c r="A32" s="133" t="s">
        <v>59</v>
      </c>
      <c r="B32" s="138">
        <f aca="true" t="shared" si="6" ref="B32:M32">3400+1*(B4/2)</f>
        <v>3402</v>
      </c>
      <c r="C32" s="138">
        <f t="shared" si="6"/>
        <v>3402</v>
      </c>
      <c r="D32" s="138">
        <f t="shared" si="6"/>
        <v>3402</v>
      </c>
      <c r="E32" s="138">
        <f t="shared" si="6"/>
        <v>3402</v>
      </c>
      <c r="F32" s="138">
        <f t="shared" si="6"/>
        <v>3402</v>
      </c>
      <c r="G32" s="138">
        <f t="shared" si="6"/>
        <v>3402</v>
      </c>
      <c r="H32" s="138">
        <f t="shared" si="6"/>
        <v>3402.5</v>
      </c>
      <c r="I32" s="138">
        <f t="shared" si="6"/>
        <v>3402.5</v>
      </c>
      <c r="J32" s="138">
        <f t="shared" si="6"/>
        <v>3402.5</v>
      </c>
      <c r="K32" s="138">
        <f t="shared" si="6"/>
        <v>3402.5</v>
      </c>
      <c r="L32" s="138">
        <f t="shared" si="6"/>
        <v>3402.5</v>
      </c>
      <c r="M32" s="138">
        <f t="shared" si="6"/>
        <v>3403</v>
      </c>
      <c r="N32" s="57">
        <f t="shared" si="3"/>
        <v>40827.5</v>
      </c>
    </row>
    <row r="33" spans="1:14" ht="15.75" thickBot="1">
      <c r="A33" s="133" t="s">
        <v>58</v>
      </c>
      <c r="B33" s="138">
        <f aca="true" t="shared" si="7" ref="B33:M33">3400+1*(B5/2)</f>
        <v>7000.199955470456</v>
      </c>
      <c r="C33" s="138">
        <f t="shared" si="7"/>
        <v>7180.209953243979</v>
      </c>
      <c r="D33" s="138">
        <f t="shared" si="7"/>
        <v>7369.2204509061785</v>
      </c>
      <c r="E33" s="138">
        <f t="shared" si="7"/>
        <v>7567.681473451487</v>
      </c>
      <c r="F33" s="138">
        <f t="shared" si="7"/>
        <v>7776.065547124062</v>
      </c>
      <c r="G33" s="138">
        <f t="shared" si="7"/>
        <v>7994.868824480265</v>
      </c>
      <c r="H33" s="138">
        <f t="shared" si="7"/>
        <v>8224.61226570428</v>
      </c>
      <c r="I33" s="138">
        <f t="shared" si="7"/>
        <v>8465.842878989493</v>
      </c>
      <c r="J33" s="138">
        <f t="shared" si="7"/>
        <v>8719.135022938968</v>
      </c>
      <c r="K33" s="138">
        <f t="shared" si="7"/>
        <v>8985.091774085917</v>
      </c>
      <c r="L33" s="138">
        <f t="shared" si="7"/>
        <v>9264.346362790213</v>
      </c>
      <c r="M33" s="138">
        <f t="shared" si="7"/>
        <v>9557.563680929725</v>
      </c>
      <c r="N33" s="34">
        <f>SUM(B33:M33)</f>
        <v>98104.83819011501</v>
      </c>
    </row>
    <row r="34" spans="1:14" ht="15.75" thickBot="1">
      <c r="A34" s="134" t="s">
        <v>94</v>
      </c>
      <c r="B34" s="22">
        <f aca="true" t="shared" si="8" ref="B34:M34">B7-SUM(B9:B33)</f>
        <v>211291.6267900432</v>
      </c>
      <c r="C34" s="22">
        <f t="shared" si="8"/>
        <v>232352.79652954568</v>
      </c>
      <c r="D34" s="22">
        <f t="shared" si="8"/>
        <v>49942.02475602296</v>
      </c>
      <c r="E34" s="22">
        <f t="shared" si="8"/>
        <v>273161.9643938241</v>
      </c>
      <c r="F34" s="22">
        <f t="shared" si="8"/>
        <v>293017.9010135154</v>
      </c>
      <c r="G34" s="22">
        <f t="shared" si="8"/>
        <v>314092.88446419104</v>
      </c>
      <c r="H34" s="22">
        <f t="shared" si="8"/>
        <v>336312.9250874007</v>
      </c>
      <c r="I34" s="22">
        <f t="shared" si="8"/>
        <v>164536.90684177075</v>
      </c>
      <c r="J34" s="22">
        <f t="shared" si="8"/>
        <v>389647.08768385905</v>
      </c>
      <c r="K34" s="22">
        <f t="shared" si="8"/>
        <v>416239.02756805206</v>
      </c>
      <c r="L34" s="22">
        <f t="shared" si="8"/>
        <v>444386.81444645487</v>
      </c>
      <c r="M34" s="22">
        <f t="shared" si="8"/>
        <v>474033.2986687778</v>
      </c>
      <c r="N34" s="23">
        <f>SUM(B34:M34)</f>
        <v>3599015.2582434574</v>
      </c>
    </row>
    <row r="37" spans="1:14" ht="15">
      <c r="A37" s="173" t="s">
        <v>212</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3">
      <selection activeCell="A2" sqref="A2"/>
    </sheetView>
  </sheetViews>
  <sheetFormatPr defaultColWidth="9.140625" defaultRowHeight="15"/>
  <cols>
    <col min="1" max="1" width="27.421875" style="0" customWidth="1"/>
    <col min="2" max="13" width="14.28125" style="0" bestFit="1" customWidth="1"/>
    <col min="14" max="14" width="15.28125" style="0" bestFit="1" customWidth="1"/>
  </cols>
  <sheetData>
    <row r="1" spans="1:14" ht="15">
      <c r="A1" s="56"/>
      <c r="B1" s="100" t="s">
        <v>15</v>
      </c>
      <c r="C1" s="100" t="s">
        <v>35</v>
      </c>
      <c r="D1" s="100" t="s">
        <v>54</v>
      </c>
      <c r="E1" s="25"/>
      <c r="F1" s="25"/>
      <c r="G1" s="25"/>
      <c r="H1" s="25"/>
      <c r="I1" s="25"/>
      <c r="J1" s="25"/>
      <c r="K1" s="25"/>
      <c r="L1" s="25"/>
      <c r="M1" s="25"/>
      <c r="N1" s="27"/>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v>6</v>
      </c>
      <c r="C4" s="140">
        <v>6</v>
      </c>
      <c r="D4" s="140">
        <v>6</v>
      </c>
      <c r="E4" s="140">
        <v>6</v>
      </c>
      <c r="F4" s="140">
        <v>6</v>
      </c>
      <c r="G4" s="140">
        <f>INT(G5/Calcs!$B$21)+1</f>
        <v>7</v>
      </c>
      <c r="H4" s="140">
        <v>7</v>
      </c>
      <c r="I4" s="140">
        <v>7</v>
      </c>
      <c r="J4" s="140">
        <v>7</v>
      </c>
      <c r="K4" s="140">
        <v>7</v>
      </c>
      <c r="L4" s="140">
        <v>8</v>
      </c>
      <c r="M4" s="140">
        <v>8</v>
      </c>
      <c r="N4" s="74"/>
    </row>
    <row r="5" spans="1:14" ht="15">
      <c r="A5" s="132" t="s">
        <v>204</v>
      </c>
      <c r="B5" s="136">
        <f>'FY 4 Most Likely'!M5*1.03</f>
        <v>12684.581182715232</v>
      </c>
      <c r="C5" s="136">
        <f>B5*1.03</f>
        <v>13065.11861819669</v>
      </c>
      <c r="D5" s="136">
        <f aca="true" t="shared" si="0" ref="D5:M5">C5*1.03</f>
        <v>13457.072176742591</v>
      </c>
      <c r="E5" s="136">
        <f t="shared" si="0"/>
        <v>13860.78434204487</v>
      </c>
      <c r="F5" s="136">
        <f t="shared" si="0"/>
        <v>14276.607872306216</v>
      </c>
      <c r="G5" s="136">
        <f t="shared" si="0"/>
        <v>14704.906108475403</v>
      </c>
      <c r="H5" s="136">
        <f t="shared" si="0"/>
        <v>15146.053291729666</v>
      </c>
      <c r="I5" s="136">
        <f t="shared" si="0"/>
        <v>15600.434890481556</v>
      </c>
      <c r="J5" s="136">
        <f t="shared" si="0"/>
        <v>16068.447937196002</v>
      </c>
      <c r="K5" s="136">
        <f t="shared" si="0"/>
        <v>16550.501375311884</v>
      </c>
      <c r="L5" s="136">
        <f t="shared" si="0"/>
        <v>17047.01641657124</v>
      </c>
      <c r="M5" s="136">
        <f t="shared" si="0"/>
        <v>17558.426909068377</v>
      </c>
      <c r="N5" s="116">
        <f>SUM(B5:M5)</f>
        <v>180019.95112083972</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2511547.074177616</v>
      </c>
      <c r="C7" s="30">
        <f aca="true" t="shared" si="1" ref="C7:M7">C5*$D$3</f>
        <v>2586893.4864029447</v>
      </c>
      <c r="D7" s="30">
        <f t="shared" si="1"/>
        <v>2664500.290995033</v>
      </c>
      <c r="E7" s="30">
        <f t="shared" si="1"/>
        <v>2744435.2997248843</v>
      </c>
      <c r="F7" s="30">
        <f t="shared" si="1"/>
        <v>2826768.358716631</v>
      </c>
      <c r="G7" s="30">
        <f t="shared" si="1"/>
        <v>2911571.40947813</v>
      </c>
      <c r="H7" s="30">
        <f t="shared" si="1"/>
        <v>2998918.551762474</v>
      </c>
      <c r="I7" s="30">
        <f t="shared" si="1"/>
        <v>3088886.108315348</v>
      </c>
      <c r="J7" s="30">
        <f t="shared" si="1"/>
        <v>3181552.6915648086</v>
      </c>
      <c r="K7" s="30">
        <f t="shared" si="1"/>
        <v>3276999.272311753</v>
      </c>
      <c r="L7" s="30">
        <f t="shared" si="1"/>
        <v>3375309.250481106</v>
      </c>
      <c r="M7" s="30">
        <f t="shared" si="1"/>
        <v>3476568.527995539</v>
      </c>
      <c r="N7" s="31">
        <f>SUM(B7:M7)</f>
        <v>35643950.32192627</v>
      </c>
    </row>
    <row r="8" spans="1:14" ht="15">
      <c r="A8" s="122"/>
      <c r="B8" s="35"/>
      <c r="C8" s="35"/>
      <c r="D8" s="35"/>
      <c r="E8" s="35"/>
      <c r="F8" s="35"/>
      <c r="G8" s="35"/>
      <c r="H8" s="35"/>
      <c r="I8" s="35"/>
      <c r="J8" s="35"/>
      <c r="K8" s="35"/>
      <c r="L8" s="35"/>
      <c r="M8" s="35"/>
      <c r="N8" s="36"/>
    </row>
    <row r="9" spans="1:14" ht="15">
      <c r="A9" s="132" t="s">
        <v>56</v>
      </c>
      <c r="B9" s="21">
        <f>B5*$B$3</f>
        <v>1750472.203214702</v>
      </c>
      <c r="C9" s="21">
        <f aca="true" t="shared" si="2" ref="C9:M9">C5*$B$3</f>
        <v>1802986.3693111432</v>
      </c>
      <c r="D9" s="21">
        <f t="shared" si="2"/>
        <v>1857075.9603904777</v>
      </c>
      <c r="E9" s="21">
        <f t="shared" si="2"/>
        <v>1912788.239202192</v>
      </c>
      <c r="F9" s="21">
        <f t="shared" si="2"/>
        <v>1970171.8863782578</v>
      </c>
      <c r="G9" s="21">
        <f t="shared" si="2"/>
        <v>2029277.0429696057</v>
      </c>
      <c r="H9" s="21">
        <f t="shared" si="2"/>
        <v>2090155.354258694</v>
      </c>
      <c r="I9" s="21">
        <f t="shared" si="2"/>
        <v>2152860.0148864547</v>
      </c>
      <c r="J9" s="21">
        <f t="shared" si="2"/>
        <v>2217445.8153330483</v>
      </c>
      <c r="K9" s="21">
        <f t="shared" si="2"/>
        <v>2283969.18979304</v>
      </c>
      <c r="L9" s="21">
        <f t="shared" si="2"/>
        <v>2352488.2654868313</v>
      </c>
      <c r="M9" s="21">
        <f t="shared" si="2"/>
        <v>2423062.913451436</v>
      </c>
      <c r="N9" s="31">
        <f>SUM(B9:M9)</f>
        <v>24842753.254675884</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200000</v>
      </c>
      <c r="D11" s="138">
        <v>0</v>
      </c>
      <c r="E11" s="138">
        <v>0</v>
      </c>
      <c r="F11" s="138">
        <v>0</v>
      </c>
      <c r="G11" s="138">
        <v>0</v>
      </c>
      <c r="H11" s="138">
        <v>200000</v>
      </c>
      <c r="I11" s="138">
        <v>0</v>
      </c>
      <c r="J11" s="138">
        <v>0</v>
      </c>
      <c r="K11" s="138">
        <v>0</v>
      </c>
      <c r="L11" s="138">
        <v>0</v>
      </c>
      <c r="M11" s="138">
        <v>0</v>
      </c>
      <c r="N11" s="57">
        <f>SUM(B11:M11)</f>
        <v>400000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aca="true" t="shared" si="3" ref="N14:N29">SUM(B14:M14)</f>
        <v>0</v>
      </c>
    </row>
    <row r="15" spans="1:14" ht="15">
      <c r="A15" s="132" t="s">
        <v>189</v>
      </c>
      <c r="B15" s="138">
        <v>27150</v>
      </c>
      <c r="C15" s="138">
        <v>27150</v>
      </c>
      <c r="D15" s="138">
        <v>27150</v>
      </c>
      <c r="E15" s="138">
        <v>27150</v>
      </c>
      <c r="F15" s="138">
        <v>27150</v>
      </c>
      <c r="G15" s="138">
        <v>31675</v>
      </c>
      <c r="H15" s="138">
        <v>31675</v>
      </c>
      <c r="I15" s="138">
        <v>31675</v>
      </c>
      <c r="J15" s="138">
        <v>31675</v>
      </c>
      <c r="K15" s="138">
        <v>31675</v>
      </c>
      <c r="L15" s="138">
        <v>36200</v>
      </c>
      <c r="M15" s="138">
        <v>36200</v>
      </c>
      <c r="N15" s="57">
        <f t="shared" si="3"/>
        <v>366525</v>
      </c>
    </row>
    <row r="16" spans="1:14" ht="15">
      <c r="A16" s="132" t="s">
        <v>190</v>
      </c>
      <c r="B16" s="138">
        <v>27150</v>
      </c>
      <c r="C16" s="138">
        <v>27150</v>
      </c>
      <c r="D16" s="138">
        <v>27150</v>
      </c>
      <c r="E16" s="138">
        <v>27150</v>
      </c>
      <c r="F16" s="138">
        <v>27150</v>
      </c>
      <c r="G16" s="138">
        <v>27150</v>
      </c>
      <c r="H16" s="138">
        <v>31675</v>
      </c>
      <c r="I16" s="138">
        <v>31675</v>
      </c>
      <c r="J16" s="138">
        <v>31675</v>
      </c>
      <c r="K16" s="138">
        <v>31675</v>
      </c>
      <c r="L16" s="138">
        <v>31675</v>
      </c>
      <c r="M16" s="138">
        <v>36200</v>
      </c>
      <c r="N16" s="57">
        <f t="shared" si="3"/>
        <v>357475</v>
      </c>
    </row>
    <row r="17" spans="1:14" ht="15">
      <c r="A17" s="132" t="s">
        <v>191</v>
      </c>
      <c r="B17" s="138">
        <v>22625</v>
      </c>
      <c r="C17" s="138">
        <v>22625</v>
      </c>
      <c r="D17" s="138">
        <v>27150</v>
      </c>
      <c r="E17" s="138">
        <v>27150</v>
      </c>
      <c r="F17" s="138">
        <v>27150</v>
      </c>
      <c r="G17" s="138">
        <v>27150</v>
      </c>
      <c r="H17" s="138">
        <v>27150</v>
      </c>
      <c r="I17" s="138">
        <v>31675</v>
      </c>
      <c r="J17" s="138">
        <v>31675</v>
      </c>
      <c r="K17" s="138">
        <v>31675</v>
      </c>
      <c r="L17" s="138">
        <v>31675</v>
      </c>
      <c r="M17" s="138">
        <v>31675</v>
      </c>
      <c r="N17" s="57">
        <f t="shared" si="3"/>
        <v>339375</v>
      </c>
    </row>
    <row r="18" spans="1:14" ht="15">
      <c r="A18" s="132" t="s">
        <v>192</v>
      </c>
      <c r="B18" s="138">
        <v>22625</v>
      </c>
      <c r="C18" s="138">
        <v>22625</v>
      </c>
      <c r="D18" s="138">
        <v>22625</v>
      </c>
      <c r="E18" s="138">
        <v>27150</v>
      </c>
      <c r="F18" s="138">
        <v>27150</v>
      </c>
      <c r="G18" s="138">
        <v>27150</v>
      </c>
      <c r="H18" s="138">
        <v>27150</v>
      </c>
      <c r="I18" s="138">
        <v>27150</v>
      </c>
      <c r="J18" s="138">
        <v>27150</v>
      </c>
      <c r="K18" s="138">
        <v>31675</v>
      </c>
      <c r="L18" s="138">
        <v>31675</v>
      </c>
      <c r="M18" s="138">
        <v>31675</v>
      </c>
      <c r="N18" s="57">
        <f>SUM(B18:M18)</f>
        <v>325800</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44">
        <v>8800</v>
      </c>
      <c r="C20" s="144">
        <v>8800</v>
      </c>
      <c r="D20" s="144">
        <v>8800</v>
      </c>
      <c r="E20" s="144">
        <v>8800</v>
      </c>
      <c r="F20" s="144">
        <v>8800</v>
      </c>
      <c r="G20" s="144">
        <v>8800</v>
      </c>
      <c r="H20" s="144">
        <v>8800</v>
      </c>
      <c r="I20" s="144">
        <v>8800</v>
      </c>
      <c r="J20" s="144">
        <v>8800</v>
      </c>
      <c r="K20" s="144">
        <v>8800</v>
      </c>
      <c r="L20" s="144">
        <v>8800</v>
      </c>
      <c r="M20" s="144">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1806.652</v>
      </c>
      <c r="C27" s="138">
        <f aca="true" t="shared" si="4" ref="C27:M27">(C4*300*30*0.007469)*2+1000</f>
        <v>1806.652</v>
      </c>
      <c r="D27" s="138">
        <f t="shared" si="4"/>
        <v>1806.652</v>
      </c>
      <c r="E27" s="138">
        <f t="shared" si="4"/>
        <v>1806.652</v>
      </c>
      <c r="F27" s="138">
        <f t="shared" si="4"/>
        <v>1806.652</v>
      </c>
      <c r="G27" s="138">
        <f t="shared" si="4"/>
        <v>1941.094</v>
      </c>
      <c r="H27" s="138">
        <f t="shared" si="4"/>
        <v>1941.094</v>
      </c>
      <c r="I27" s="138">
        <f t="shared" si="4"/>
        <v>1941.094</v>
      </c>
      <c r="J27" s="138">
        <f t="shared" si="4"/>
        <v>1941.094</v>
      </c>
      <c r="K27" s="138">
        <f t="shared" si="4"/>
        <v>1941.094</v>
      </c>
      <c r="L27" s="138">
        <f t="shared" si="4"/>
        <v>2075.536</v>
      </c>
      <c r="M27" s="138">
        <f t="shared" si="4"/>
        <v>2075.536</v>
      </c>
      <c r="N27" s="57">
        <f t="shared" si="3"/>
        <v>22889.802000000003</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SUM(B30:M30)</f>
        <v>20004</v>
      </c>
    </row>
    <row r="31" spans="1:14" ht="15">
      <c r="A31" s="132" t="s">
        <v>198</v>
      </c>
      <c r="B31" s="138">
        <v>18815.13</v>
      </c>
      <c r="C31" s="138">
        <v>18815.13</v>
      </c>
      <c r="D31" s="138">
        <v>18815.13</v>
      </c>
      <c r="E31" s="138">
        <v>18815.13</v>
      </c>
      <c r="F31" s="138">
        <v>18815.13</v>
      </c>
      <c r="G31" s="138">
        <v>18815.13</v>
      </c>
      <c r="H31" s="138">
        <v>18815.13</v>
      </c>
      <c r="I31" s="138">
        <v>18815.13</v>
      </c>
      <c r="J31" s="138">
        <v>18815.13</v>
      </c>
      <c r="K31" s="138">
        <v>18815.13</v>
      </c>
      <c r="L31" s="138">
        <v>18815.13</v>
      </c>
      <c r="M31" s="138">
        <v>18815.13</v>
      </c>
      <c r="N31" s="57">
        <f>SUM(B31:M31)</f>
        <v>225781.56000000003</v>
      </c>
    </row>
    <row r="32" spans="1:14" ht="15">
      <c r="A32" s="133" t="s">
        <v>59</v>
      </c>
      <c r="B32" s="138">
        <f>3400+(1*(B5-12315.13)/2)+6157.565</f>
        <v>9742.290591357616</v>
      </c>
      <c r="C32" s="138">
        <f aca="true" t="shared" si="5" ref="C32:M32">3400+(1*(C5-12315.13)/2)+6157.565</f>
        <v>9932.559309098346</v>
      </c>
      <c r="D32" s="138">
        <f t="shared" si="5"/>
        <v>10128.536088371297</v>
      </c>
      <c r="E32" s="138">
        <f t="shared" si="5"/>
        <v>10330.392171022435</v>
      </c>
      <c r="F32" s="138">
        <f t="shared" si="5"/>
        <v>10538.303936153108</v>
      </c>
      <c r="G32" s="138">
        <f t="shared" si="5"/>
        <v>10752.453054237702</v>
      </c>
      <c r="H32" s="138">
        <f t="shared" si="5"/>
        <v>10973.026645864833</v>
      </c>
      <c r="I32" s="138">
        <f t="shared" si="5"/>
        <v>11200.217445240778</v>
      </c>
      <c r="J32" s="138">
        <f t="shared" si="5"/>
        <v>11434.223968598002</v>
      </c>
      <c r="K32" s="138">
        <f t="shared" si="5"/>
        <v>11675.250687655942</v>
      </c>
      <c r="L32" s="138">
        <f t="shared" si="5"/>
        <v>11923.50820828562</v>
      </c>
      <c r="M32" s="138">
        <f t="shared" si="5"/>
        <v>12179.213454534189</v>
      </c>
      <c r="N32" s="57">
        <f>SUM(B32:M32)</f>
        <v>130809.97556041989</v>
      </c>
    </row>
    <row r="33" spans="1:14" ht="15.75" thickBot="1">
      <c r="A33" s="133" t="s">
        <v>58</v>
      </c>
      <c r="B33" s="138">
        <f>3400+(1*(B5-12315.13)/2)</f>
        <v>3584.7255913576164</v>
      </c>
      <c r="C33" s="138">
        <f aca="true" t="shared" si="6" ref="C33:M33">3400+(1*(C5-12315.13)/2)</f>
        <v>3774.994309098345</v>
      </c>
      <c r="D33" s="138">
        <f t="shared" si="6"/>
        <v>3970.971088371296</v>
      </c>
      <c r="E33" s="138">
        <f t="shared" si="6"/>
        <v>4172.827171022435</v>
      </c>
      <c r="F33" s="138">
        <f t="shared" si="6"/>
        <v>4380.738936153109</v>
      </c>
      <c r="G33" s="138">
        <f t="shared" si="6"/>
        <v>4594.888054237702</v>
      </c>
      <c r="H33" s="138">
        <f t="shared" si="6"/>
        <v>4815.461645864833</v>
      </c>
      <c r="I33" s="138">
        <f t="shared" si="6"/>
        <v>5042.652445240778</v>
      </c>
      <c r="J33" s="138">
        <f t="shared" si="6"/>
        <v>5276.658968598002</v>
      </c>
      <c r="K33" s="138">
        <f t="shared" si="6"/>
        <v>5517.685687655942</v>
      </c>
      <c r="L33" s="138">
        <f t="shared" si="6"/>
        <v>5765.943208285621</v>
      </c>
      <c r="M33" s="138">
        <f t="shared" si="6"/>
        <v>6021.648454534189</v>
      </c>
      <c r="N33" s="57">
        <f>SUM(B33:M33)</f>
        <v>56919.19556041987</v>
      </c>
    </row>
    <row r="34" spans="1:14" ht="15.75" thickBot="1">
      <c r="A34" s="134" t="s">
        <v>94</v>
      </c>
      <c r="B34" s="22">
        <f aca="true" t="shared" si="7" ref="B34:M34">B7-SUM(B9:B33)</f>
        <v>491309.0727801989</v>
      </c>
      <c r="C34" s="22">
        <f t="shared" si="7"/>
        <v>313760.78147360496</v>
      </c>
      <c r="D34" s="22">
        <f t="shared" si="7"/>
        <v>532361.041427813</v>
      </c>
      <c r="E34" s="22">
        <f t="shared" si="7"/>
        <v>551655.0591806476</v>
      </c>
      <c r="F34" s="22">
        <f t="shared" si="7"/>
        <v>576188.6474660672</v>
      </c>
      <c r="G34" s="22">
        <f t="shared" si="7"/>
        <v>596798.8014000487</v>
      </c>
      <c r="H34" s="22">
        <f t="shared" si="7"/>
        <v>418301.4852120504</v>
      </c>
      <c r="I34" s="22">
        <f t="shared" si="7"/>
        <v>640584.9995384119</v>
      </c>
      <c r="J34" s="22">
        <f t="shared" si="7"/>
        <v>668197.7692945641</v>
      </c>
      <c r="K34" s="22">
        <f t="shared" si="7"/>
        <v>692113.9221434011</v>
      </c>
      <c r="L34" s="22">
        <f t="shared" si="7"/>
        <v>716748.8675777037</v>
      </c>
      <c r="M34" s="22">
        <f t="shared" si="7"/>
        <v>742397.0866350345</v>
      </c>
      <c r="N34" s="23">
        <f>SUM(B34:M34)</f>
        <v>6940417.534129547</v>
      </c>
    </row>
    <row r="37" spans="1:14" ht="15">
      <c r="A37" s="173" t="s">
        <v>212</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6">
      <selection activeCell="A2" sqref="A2"/>
    </sheetView>
  </sheetViews>
  <sheetFormatPr defaultColWidth="9.140625" defaultRowHeight="15"/>
  <cols>
    <col min="1" max="1" width="28.00390625" style="0" customWidth="1"/>
    <col min="2" max="9" width="13.421875" style="0" bestFit="1" customWidth="1"/>
    <col min="10" max="12" width="12.57421875" style="0" bestFit="1" customWidth="1"/>
    <col min="13" max="13" width="14.28125" style="0" bestFit="1" customWidth="1"/>
    <col min="14" max="14" width="14.28125" style="0" customWidth="1"/>
    <col min="15" max="15" width="12.57421875" style="0" bestFit="1" customWidth="1"/>
  </cols>
  <sheetData>
    <row r="1" spans="1:14" ht="15">
      <c r="A1" s="62"/>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36">
        <f>B5/600</f>
        <v>0</v>
      </c>
      <c r="C4" s="136">
        <f aca="true" t="shared" si="0" ref="C4:M4">C5/600</f>
        <v>0</v>
      </c>
      <c r="D4" s="136">
        <f t="shared" si="0"/>
        <v>0</v>
      </c>
      <c r="E4" s="136">
        <f t="shared" si="0"/>
        <v>0</v>
      </c>
      <c r="F4" s="136">
        <f t="shared" si="0"/>
        <v>0</v>
      </c>
      <c r="G4" s="136">
        <f t="shared" si="0"/>
        <v>0</v>
      </c>
      <c r="H4" s="136">
        <f t="shared" si="0"/>
        <v>0</v>
      </c>
      <c r="I4" s="136">
        <f t="shared" si="0"/>
        <v>0</v>
      </c>
      <c r="J4" s="136">
        <f t="shared" si="0"/>
        <v>0</v>
      </c>
      <c r="K4" s="136">
        <f t="shared" si="0"/>
        <v>0</v>
      </c>
      <c r="L4" s="136">
        <f t="shared" si="0"/>
        <v>0</v>
      </c>
      <c r="M4" s="136">
        <f t="shared" si="0"/>
        <v>0</v>
      </c>
      <c r="N4" s="74"/>
    </row>
    <row r="5" spans="1:14" ht="15">
      <c r="A5" s="132" t="s">
        <v>204</v>
      </c>
      <c r="B5" s="136">
        <v>0</v>
      </c>
      <c r="C5" s="136">
        <v>0</v>
      </c>
      <c r="D5" s="136">
        <v>0</v>
      </c>
      <c r="E5" s="136">
        <v>0</v>
      </c>
      <c r="F5" s="136">
        <v>0</v>
      </c>
      <c r="G5" s="136">
        <v>0</v>
      </c>
      <c r="H5" s="136">
        <v>0</v>
      </c>
      <c r="I5" s="136">
        <v>0</v>
      </c>
      <c r="J5" s="136">
        <v>0</v>
      </c>
      <c r="K5" s="136">
        <v>0</v>
      </c>
      <c r="L5" s="136">
        <v>0</v>
      </c>
      <c r="M5" s="136">
        <v>0</v>
      </c>
      <c r="N5" s="116">
        <f>SUM(B5:M5)</f>
        <v>0</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5" ht="15">
      <c r="A7" s="132" t="s">
        <v>55</v>
      </c>
      <c r="B7" s="21">
        <f>B5*$D$3</f>
        <v>0</v>
      </c>
      <c r="C7" s="21">
        <f aca="true" t="shared" si="1" ref="C7:M7">C5*$D$3</f>
        <v>0</v>
      </c>
      <c r="D7" s="21">
        <f t="shared" si="1"/>
        <v>0</v>
      </c>
      <c r="E7" s="21">
        <f t="shared" si="1"/>
        <v>0</v>
      </c>
      <c r="F7" s="21">
        <f t="shared" si="1"/>
        <v>0</v>
      </c>
      <c r="G7" s="21">
        <f t="shared" si="1"/>
        <v>0</v>
      </c>
      <c r="H7" s="21">
        <f t="shared" si="1"/>
        <v>0</v>
      </c>
      <c r="I7" s="21">
        <f t="shared" si="1"/>
        <v>0</v>
      </c>
      <c r="J7" s="21">
        <f t="shared" si="1"/>
        <v>0</v>
      </c>
      <c r="K7" s="21">
        <f t="shared" si="1"/>
        <v>0</v>
      </c>
      <c r="L7" s="21">
        <f t="shared" si="1"/>
        <v>0</v>
      </c>
      <c r="M7" s="21">
        <f t="shared" si="1"/>
        <v>0</v>
      </c>
      <c r="N7" s="57">
        <f>SUM(B7:M7)</f>
        <v>0</v>
      </c>
      <c r="O7" s="2"/>
    </row>
    <row r="8" spans="1:14" ht="15">
      <c r="A8" s="122"/>
      <c r="B8" s="113"/>
      <c r="C8" s="113"/>
      <c r="D8" s="113"/>
      <c r="E8" s="113"/>
      <c r="F8" s="113"/>
      <c r="G8" s="113"/>
      <c r="H8" s="113"/>
      <c r="I8" s="113"/>
      <c r="J8" s="113"/>
      <c r="K8" s="113"/>
      <c r="L8" s="113"/>
      <c r="M8" s="113"/>
      <c r="N8" s="117"/>
    </row>
    <row r="9" spans="1:14" ht="15">
      <c r="A9" s="132" t="s">
        <v>56</v>
      </c>
      <c r="B9" s="21">
        <f>B5*$B$3</f>
        <v>0</v>
      </c>
      <c r="C9" s="21">
        <f aca="true" t="shared" si="2" ref="C9:M9">C5*$B$3</f>
        <v>0</v>
      </c>
      <c r="D9" s="21">
        <f t="shared" si="2"/>
        <v>0</v>
      </c>
      <c r="E9" s="21">
        <f t="shared" si="2"/>
        <v>0</v>
      </c>
      <c r="F9" s="21">
        <f t="shared" si="2"/>
        <v>0</v>
      </c>
      <c r="G9" s="21">
        <f t="shared" si="2"/>
        <v>0</v>
      </c>
      <c r="H9" s="21">
        <f t="shared" si="2"/>
        <v>0</v>
      </c>
      <c r="I9" s="21">
        <f t="shared" si="2"/>
        <v>0</v>
      </c>
      <c r="J9" s="21">
        <f t="shared" si="2"/>
        <v>0</v>
      </c>
      <c r="K9" s="21">
        <f t="shared" si="2"/>
        <v>0</v>
      </c>
      <c r="L9" s="21">
        <f t="shared" si="2"/>
        <v>0</v>
      </c>
      <c r="M9" s="21">
        <f t="shared" si="2"/>
        <v>0</v>
      </c>
      <c r="N9" s="57">
        <f>SUM(B9:M9)</f>
        <v>0</v>
      </c>
    </row>
    <row r="10" spans="1:14" ht="15">
      <c r="A10" s="132" t="s">
        <v>199</v>
      </c>
      <c r="B10" s="138">
        <v>25000</v>
      </c>
      <c r="C10" s="138">
        <v>0</v>
      </c>
      <c r="D10" s="138">
        <v>0</v>
      </c>
      <c r="E10" s="138">
        <v>0</v>
      </c>
      <c r="F10" s="138">
        <v>0</v>
      </c>
      <c r="G10" s="138">
        <v>0</v>
      </c>
      <c r="H10" s="138">
        <v>0</v>
      </c>
      <c r="I10" s="138">
        <v>0</v>
      </c>
      <c r="J10" s="138">
        <v>0</v>
      </c>
      <c r="K10" s="138">
        <v>0</v>
      </c>
      <c r="L10" s="138">
        <v>0</v>
      </c>
      <c r="M10" s="138">
        <v>0</v>
      </c>
      <c r="N10" s="57">
        <f>SUM(B10:M10)</f>
        <v>25000</v>
      </c>
    </row>
    <row r="11" spans="1:14" ht="15">
      <c r="A11" s="132" t="s">
        <v>188</v>
      </c>
      <c r="B11" s="138">
        <v>0</v>
      </c>
      <c r="C11" s="138">
        <v>0</v>
      </c>
      <c r="D11" s="138">
        <v>0</v>
      </c>
      <c r="E11" s="138">
        <v>0</v>
      </c>
      <c r="F11" s="138">
        <v>0</v>
      </c>
      <c r="G11" s="138">
        <v>0</v>
      </c>
      <c r="H11" s="138">
        <v>0</v>
      </c>
      <c r="I11" s="138">
        <v>0</v>
      </c>
      <c r="J11" s="138">
        <v>0</v>
      </c>
      <c r="K11" s="138">
        <v>0</v>
      </c>
      <c r="L11" s="138">
        <v>0</v>
      </c>
      <c r="M11" s="138">
        <v>0</v>
      </c>
      <c r="N11" s="57">
        <f>SUM(B11:M11)</f>
        <v>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3000</v>
      </c>
      <c r="G13" s="138">
        <v>3000</v>
      </c>
      <c r="H13" s="138">
        <v>3000</v>
      </c>
      <c r="I13" s="138">
        <v>3000</v>
      </c>
      <c r="J13" s="138">
        <v>3000</v>
      </c>
      <c r="K13" s="138">
        <v>3000</v>
      </c>
      <c r="L13" s="138">
        <v>3000</v>
      </c>
      <c r="M13" s="138">
        <v>3000</v>
      </c>
      <c r="N13" s="57">
        <f>SUM(B13:M13)</f>
        <v>36000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aca="true" t="shared" si="3" ref="N14:N32">SUM(B14:M14)</f>
        <v>0</v>
      </c>
    </row>
    <row r="15" spans="1:14" ht="15">
      <c r="A15" s="132" t="s">
        <v>189</v>
      </c>
      <c r="B15" s="138">
        <v>0</v>
      </c>
      <c r="C15" s="138">
        <v>0</v>
      </c>
      <c r="D15" s="138">
        <v>0</v>
      </c>
      <c r="E15" s="138">
        <v>0</v>
      </c>
      <c r="F15" s="138">
        <v>0</v>
      </c>
      <c r="G15" s="138">
        <v>0</v>
      </c>
      <c r="H15" s="138">
        <v>0</v>
      </c>
      <c r="I15" s="138">
        <v>0</v>
      </c>
      <c r="J15" s="138">
        <v>0</v>
      </c>
      <c r="K15" s="138">
        <v>0</v>
      </c>
      <c r="L15" s="138">
        <v>0</v>
      </c>
      <c r="M15" s="138">
        <v>0</v>
      </c>
      <c r="N15" s="57">
        <f t="shared" si="3"/>
        <v>0</v>
      </c>
    </row>
    <row r="16" spans="1:14" ht="15">
      <c r="A16" s="132" t="s">
        <v>190</v>
      </c>
      <c r="B16" s="138">
        <v>0</v>
      </c>
      <c r="C16" s="138">
        <v>0</v>
      </c>
      <c r="D16" s="138">
        <v>0</v>
      </c>
      <c r="E16" s="138">
        <v>0</v>
      </c>
      <c r="F16" s="138">
        <v>0</v>
      </c>
      <c r="G16" s="138">
        <v>0</v>
      </c>
      <c r="H16" s="138">
        <v>0</v>
      </c>
      <c r="I16" s="138">
        <v>0</v>
      </c>
      <c r="J16" s="138">
        <v>0</v>
      </c>
      <c r="K16" s="138">
        <v>0</v>
      </c>
      <c r="L16" s="138">
        <v>0</v>
      </c>
      <c r="M16" s="138">
        <v>0</v>
      </c>
      <c r="N16" s="57">
        <f t="shared" si="3"/>
        <v>0</v>
      </c>
    </row>
    <row r="17" spans="1:14" ht="15">
      <c r="A17" s="132" t="s">
        <v>191</v>
      </c>
      <c r="B17" s="138">
        <v>0</v>
      </c>
      <c r="C17" s="138">
        <v>0</v>
      </c>
      <c r="D17" s="138">
        <v>0</v>
      </c>
      <c r="E17" s="138">
        <v>0</v>
      </c>
      <c r="F17" s="138">
        <v>0</v>
      </c>
      <c r="G17" s="138">
        <v>0</v>
      </c>
      <c r="H17" s="138">
        <v>0</v>
      </c>
      <c r="I17" s="138">
        <v>0</v>
      </c>
      <c r="J17" s="138">
        <v>0</v>
      </c>
      <c r="K17" s="138">
        <v>0</v>
      </c>
      <c r="L17" s="138">
        <v>0</v>
      </c>
      <c r="M17" s="138">
        <v>0</v>
      </c>
      <c r="N17" s="57">
        <f t="shared" si="3"/>
        <v>0</v>
      </c>
    </row>
    <row r="18" spans="1:14" ht="15">
      <c r="A18" s="132" t="s">
        <v>192</v>
      </c>
      <c r="B18" s="138">
        <v>0</v>
      </c>
      <c r="C18" s="138">
        <v>0</v>
      </c>
      <c r="D18" s="138">
        <v>0</v>
      </c>
      <c r="E18" s="138">
        <v>0</v>
      </c>
      <c r="F18" s="138">
        <v>0</v>
      </c>
      <c r="G18" s="138">
        <v>0</v>
      </c>
      <c r="H18" s="138">
        <v>0</v>
      </c>
      <c r="I18" s="138">
        <v>0</v>
      </c>
      <c r="J18" s="138">
        <v>0</v>
      </c>
      <c r="K18" s="138">
        <v>0</v>
      </c>
      <c r="L18" s="138">
        <v>0</v>
      </c>
      <c r="M18" s="138">
        <v>0</v>
      </c>
      <c r="N18" s="57">
        <f t="shared" si="3"/>
        <v>0</v>
      </c>
    </row>
    <row r="19" spans="1:14" ht="15">
      <c r="A19" s="132" t="s">
        <v>194</v>
      </c>
      <c r="B19" s="138">
        <v>0</v>
      </c>
      <c r="C19" s="138">
        <v>0</v>
      </c>
      <c r="D19" s="138">
        <v>0</v>
      </c>
      <c r="E19" s="138">
        <v>0</v>
      </c>
      <c r="F19" s="138">
        <v>0</v>
      </c>
      <c r="G19" s="138">
        <v>0</v>
      </c>
      <c r="H19" s="138">
        <v>0</v>
      </c>
      <c r="I19" s="138">
        <v>0</v>
      </c>
      <c r="J19" s="138">
        <v>0</v>
      </c>
      <c r="K19" s="138">
        <v>0</v>
      </c>
      <c r="L19" s="138">
        <v>0</v>
      </c>
      <c r="M19" s="138">
        <v>0</v>
      </c>
      <c r="N19" s="57">
        <f>SUM(B19:M19)</f>
        <v>0</v>
      </c>
    </row>
    <row r="20" spans="1:14" ht="15">
      <c r="A20" s="132" t="s">
        <v>193</v>
      </c>
      <c r="B20" s="138">
        <v>0</v>
      </c>
      <c r="C20" s="138">
        <v>0</v>
      </c>
      <c r="D20" s="138">
        <v>0</v>
      </c>
      <c r="E20" s="138">
        <v>0</v>
      </c>
      <c r="F20" s="138">
        <v>0</v>
      </c>
      <c r="G20" s="138">
        <v>0</v>
      </c>
      <c r="H20" s="138">
        <v>0</v>
      </c>
      <c r="I20" s="138">
        <v>0</v>
      </c>
      <c r="J20" s="138">
        <v>0</v>
      </c>
      <c r="K20" s="138">
        <v>0</v>
      </c>
      <c r="L20" s="138">
        <v>0</v>
      </c>
      <c r="M20" s="138">
        <v>0</v>
      </c>
      <c r="N20" s="57">
        <f>SUM(B20:M20)</f>
        <v>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2750</v>
      </c>
      <c r="C22" s="138">
        <v>2750</v>
      </c>
      <c r="D22" s="138">
        <v>2750</v>
      </c>
      <c r="E22" s="138">
        <v>2750</v>
      </c>
      <c r="F22" s="138">
        <v>2750</v>
      </c>
      <c r="G22" s="138">
        <v>2750</v>
      </c>
      <c r="H22" s="138">
        <v>2750</v>
      </c>
      <c r="I22" s="138">
        <v>2750</v>
      </c>
      <c r="J22" s="138">
        <v>2750</v>
      </c>
      <c r="K22" s="138">
        <v>2750</v>
      </c>
      <c r="L22" s="138">
        <v>2750</v>
      </c>
      <c r="M22" s="138">
        <v>2750</v>
      </c>
      <c r="N22" s="57">
        <f>SUM(B22:M22)</f>
        <v>33000</v>
      </c>
    </row>
    <row r="23" spans="1:14" ht="15">
      <c r="A23" s="132" t="s">
        <v>43</v>
      </c>
      <c r="B23" s="138">
        <v>0</v>
      </c>
      <c r="C23" s="138">
        <v>0</v>
      </c>
      <c r="D23" s="138">
        <v>0</v>
      </c>
      <c r="E23" s="138">
        <v>0</v>
      </c>
      <c r="F23" s="138">
        <v>0</v>
      </c>
      <c r="G23" s="138">
        <v>0</v>
      </c>
      <c r="H23" s="138">
        <v>0</v>
      </c>
      <c r="I23" s="138">
        <v>0</v>
      </c>
      <c r="J23" s="138">
        <v>0</v>
      </c>
      <c r="K23" s="138">
        <v>0</v>
      </c>
      <c r="L23" s="138">
        <v>0</v>
      </c>
      <c r="M23" s="138">
        <v>0</v>
      </c>
      <c r="N23" s="57">
        <f t="shared" si="3"/>
        <v>0</v>
      </c>
    </row>
    <row r="24" spans="1:14" ht="15">
      <c r="A24" s="132" t="s">
        <v>62</v>
      </c>
      <c r="B24" s="138">
        <v>0</v>
      </c>
      <c r="C24" s="138">
        <v>0</v>
      </c>
      <c r="D24" s="138">
        <v>0</v>
      </c>
      <c r="E24" s="138">
        <v>0</v>
      </c>
      <c r="F24" s="138">
        <v>0</v>
      </c>
      <c r="G24" s="138">
        <v>0</v>
      </c>
      <c r="H24" s="138">
        <v>0</v>
      </c>
      <c r="I24" s="138">
        <v>0</v>
      </c>
      <c r="J24" s="138">
        <v>0</v>
      </c>
      <c r="K24" s="138">
        <v>0</v>
      </c>
      <c r="L24" s="138">
        <v>0</v>
      </c>
      <c r="M24" s="138">
        <v>0</v>
      </c>
      <c r="N24" s="57">
        <f t="shared" si="3"/>
        <v>0</v>
      </c>
    </row>
    <row r="25" spans="1:14" ht="15">
      <c r="A25" s="132" t="s">
        <v>96</v>
      </c>
      <c r="B25" s="138">
        <v>3500</v>
      </c>
      <c r="C25" s="138">
        <v>3500</v>
      </c>
      <c r="D25" s="138">
        <v>3500</v>
      </c>
      <c r="E25" s="138">
        <v>3500</v>
      </c>
      <c r="F25" s="138">
        <v>3500</v>
      </c>
      <c r="G25" s="138">
        <v>3500</v>
      </c>
      <c r="H25" s="138">
        <v>3500</v>
      </c>
      <c r="I25" s="138">
        <v>3500</v>
      </c>
      <c r="J25" s="138">
        <v>3500</v>
      </c>
      <c r="K25" s="138">
        <v>3500</v>
      </c>
      <c r="L25" s="138">
        <v>3500</v>
      </c>
      <c r="M25" s="138">
        <v>3500</v>
      </c>
      <c r="N25" s="57">
        <f t="shared" si="3"/>
        <v>42000</v>
      </c>
    </row>
    <row r="26" spans="1:14" ht="15">
      <c r="A26" s="132" t="s">
        <v>45</v>
      </c>
      <c r="B26" s="138">
        <v>500</v>
      </c>
      <c r="C26" s="138">
        <v>500</v>
      </c>
      <c r="D26" s="138">
        <v>500</v>
      </c>
      <c r="E26" s="138">
        <v>500</v>
      </c>
      <c r="F26" s="138">
        <v>500</v>
      </c>
      <c r="G26" s="138">
        <v>500</v>
      </c>
      <c r="H26" s="138">
        <v>500</v>
      </c>
      <c r="I26" s="138">
        <v>500</v>
      </c>
      <c r="J26" s="138">
        <v>500</v>
      </c>
      <c r="K26" s="138">
        <v>500</v>
      </c>
      <c r="L26" s="138">
        <v>500</v>
      </c>
      <c r="M26" s="138">
        <v>500</v>
      </c>
      <c r="N26" s="57">
        <f t="shared" si="3"/>
        <v>6000</v>
      </c>
    </row>
    <row r="27" spans="1:14" ht="15">
      <c r="A27" s="132" t="s">
        <v>46</v>
      </c>
      <c r="B27" s="138">
        <v>250</v>
      </c>
      <c r="C27" s="138">
        <v>250</v>
      </c>
      <c r="D27" s="138">
        <v>250</v>
      </c>
      <c r="E27" s="138">
        <v>250</v>
      </c>
      <c r="F27" s="138">
        <v>250</v>
      </c>
      <c r="G27" s="138">
        <v>250</v>
      </c>
      <c r="H27" s="138">
        <v>250</v>
      </c>
      <c r="I27" s="138">
        <v>250</v>
      </c>
      <c r="J27" s="138">
        <v>250</v>
      </c>
      <c r="K27" s="138">
        <v>250</v>
      </c>
      <c r="L27" s="138">
        <v>250</v>
      </c>
      <c r="M27" s="138">
        <v>250</v>
      </c>
      <c r="N27" s="57">
        <f t="shared" si="3"/>
        <v>3000</v>
      </c>
    </row>
    <row r="28" spans="1:14" ht="15">
      <c r="A28" s="132" t="s">
        <v>48</v>
      </c>
      <c r="B28" s="138">
        <v>1500</v>
      </c>
      <c r="C28" s="138">
        <v>1500</v>
      </c>
      <c r="D28" s="138">
        <v>1500</v>
      </c>
      <c r="E28" s="138">
        <v>1500</v>
      </c>
      <c r="F28" s="138">
        <v>1500</v>
      </c>
      <c r="G28" s="138">
        <v>1500</v>
      </c>
      <c r="H28" s="138">
        <v>1500</v>
      </c>
      <c r="I28" s="138">
        <v>1500</v>
      </c>
      <c r="J28" s="138">
        <v>1500</v>
      </c>
      <c r="K28" s="138">
        <v>1500</v>
      </c>
      <c r="L28" s="138">
        <v>1500</v>
      </c>
      <c r="M28" s="138">
        <v>1500</v>
      </c>
      <c r="N28" s="57">
        <f t="shared" si="3"/>
        <v>18000</v>
      </c>
    </row>
    <row r="29" spans="1:14" ht="15">
      <c r="A29" s="132" t="s">
        <v>50</v>
      </c>
      <c r="B29" s="138">
        <v>0</v>
      </c>
      <c r="C29" s="138">
        <v>0</v>
      </c>
      <c r="D29" s="138">
        <v>0</v>
      </c>
      <c r="E29" s="138">
        <v>0</v>
      </c>
      <c r="F29" s="138">
        <v>0</v>
      </c>
      <c r="G29" s="138">
        <v>0</v>
      </c>
      <c r="H29" s="138">
        <v>0</v>
      </c>
      <c r="I29" s="138">
        <v>0</v>
      </c>
      <c r="J29" s="138">
        <v>0</v>
      </c>
      <c r="K29" s="138">
        <v>0</v>
      </c>
      <c r="L29" s="138">
        <v>0</v>
      </c>
      <c r="M29" s="138">
        <v>0</v>
      </c>
      <c r="N29" s="57">
        <f t="shared" si="3"/>
        <v>0</v>
      </c>
    </row>
    <row r="30" spans="1:14" ht="15">
      <c r="A30" s="132" t="s">
        <v>195</v>
      </c>
      <c r="B30" s="138">
        <v>0</v>
      </c>
      <c r="C30" s="138">
        <v>0</v>
      </c>
      <c r="D30" s="138">
        <v>0</v>
      </c>
      <c r="E30" s="138">
        <v>0</v>
      </c>
      <c r="F30" s="138">
        <v>0</v>
      </c>
      <c r="G30" s="138">
        <v>0</v>
      </c>
      <c r="H30" s="138">
        <v>0</v>
      </c>
      <c r="I30" s="138">
        <v>0</v>
      </c>
      <c r="J30" s="138">
        <v>0</v>
      </c>
      <c r="K30" s="138">
        <v>0</v>
      </c>
      <c r="L30" s="138">
        <v>0</v>
      </c>
      <c r="M30" s="138">
        <v>0</v>
      </c>
      <c r="N30" s="57">
        <f t="shared" si="3"/>
        <v>0</v>
      </c>
    </row>
    <row r="31" spans="1:14" ht="15">
      <c r="A31" s="132" t="s">
        <v>198</v>
      </c>
      <c r="B31" s="138">
        <v>0</v>
      </c>
      <c r="C31" s="138">
        <v>0</v>
      </c>
      <c r="D31" s="138">
        <v>0</v>
      </c>
      <c r="E31" s="138">
        <v>0</v>
      </c>
      <c r="F31" s="138">
        <v>0</v>
      </c>
      <c r="G31" s="138">
        <v>0</v>
      </c>
      <c r="H31" s="138">
        <v>0</v>
      </c>
      <c r="I31" s="138">
        <v>0</v>
      </c>
      <c r="J31" s="138">
        <v>0</v>
      </c>
      <c r="K31" s="138">
        <v>0</v>
      </c>
      <c r="L31" s="138">
        <v>0</v>
      </c>
      <c r="M31" s="138">
        <v>0</v>
      </c>
      <c r="N31" s="57">
        <f t="shared" si="3"/>
        <v>0</v>
      </c>
    </row>
    <row r="32" spans="1:14" ht="15">
      <c r="A32" s="133" t="s">
        <v>59</v>
      </c>
      <c r="B32" s="139">
        <v>0</v>
      </c>
      <c r="C32" s="139">
        <v>0</v>
      </c>
      <c r="D32" s="139">
        <v>0</v>
      </c>
      <c r="E32" s="139">
        <v>0</v>
      </c>
      <c r="F32" s="139">
        <v>0</v>
      </c>
      <c r="G32" s="139">
        <v>0</v>
      </c>
      <c r="H32" s="139">
        <v>0</v>
      </c>
      <c r="I32" s="139">
        <v>0</v>
      </c>
      <c r="J32" s="139">
        <v>0</v>
      </c>
      <c r="K32" s="139">
        <v>0</v>
      </c>
      <c r="L32" s="139">
        <v>0</v>
      </c>
      <c r="M32" s="139">
        <v>0</v>
      </c>
      <c r="N32" s="34">
        <f t="shared" si="3"/>
        <v>0</v>
      </c>
    </row>
    <row r="33" spans="1:14" ht="15.75" thickBot="1">
      <c r="A33" s="133" t="s">
        <v>58</v>
      </c>
      <c r="B33" s="139">
        <v>0</v>
      </c>
      <c r="C33" s="139">
        <v>0</v>
      </c>
      <c r="D33" s="139">
        <v>0</v>
      </c>
      <c r="E33" s="139">
        <v>0</v>
      </c>
      <c r="F33" s="139">
        <v>0</v>
      </c>
      <c r="G33" s="139">
        <v>0</v>
      </c>
      <c r="H33" s="139">
        <v>0</v>
      </c>
      <c r="I33" s="139">
        <v>0</v>
      </c>
      <c r="J33" s="139">
        <v>0</v>
      </c>
      <c r="K33" s="139">
        <v>0</v>
      </c>
      <c r="L33" s="139">
        <v>0</v>
      </c>
      <c r="M33" s="139">
        <v>0</v>
      </c>
      <c r="N33" s="34">
        <f>SUM(B33:M33)</f>
        <v>0</v>
      </c>
    </row>
    <row r="34" spans="1:14" ht="15.75" thickBot="1">
      <c r="A34" s="134" t="s">
        <v>94</v>
      </c>
      <c r="B34" s="22">
        <f aca="true" t="shared" si="4" ref="B34:M34">B7-SUM(B9:B33)</f>
        <v>-47500</v>
      </c>
      <c r="C34" s="22">
        <f t="shared" si="4"/>
        <v>-22500</v>
      </c>
      <c r="D34" s="22">
        <f t="shared" si="4"/>
        <v>-22500</v>
      </c>
      <c r="E34" s="22">
        <f t="shared" si="4"/>
        <v>-22500</v>
      </c>
      <c r="F34" s="22">
        <f t="shared" si="4"/>
        <v>-22500</v>
      </c>
      <c r="G34" s="22">
        <f t="shared" si="4"/>
        <v>-22500</v>
      </c>
      <c r="H34" s="22">
        <f t="shared" si="4"/>
        <v>-22500</v>
      </c>
      <c r="I34" s="22">
        <f t="shared" si="4"/>
        <v>-22500</v>
      </c>
      <c r="J34" s="22">
        <f t="shared" si="4"/>
        <v>-22500</v>
      </c>
      <c r="K34" s="22">
        <f t="shared" si="4"/>
        <v>-22500</v>
      </c>
      <c r="L34" s="22">
        <f t="shared" si="4"/>
        <v>-22500</v>
      </c>
      <c r="M34" s="22">
        <f t="shared" si="4"/>
        <v>-22500</v>
      </c>
      <c r="N34" s="23">
        <f>SUM(B34:M34)</f>
        <v>-295000</v>
      </c>
    </row>
    <row r="37" spans="1:14" ht="15">
      <c r="A37" s="173" t="s">
        <v>213</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45"/>
  <sheetViews>
    <sheetView view="pageLayout" workbookViewId="0" topLeftCell="A13">
      <selection activeCell="A2" sqref="A2"/>
    </sheetView>
  </sheetViews>
  <sheetFormatPr defaultColWidth="9.140625" defaultRowHeight="15"/>
  <cols>
    <col min="1" max="1" width="27.7109375" style="0" customWidth="1"/>
    <col min="2" max="10" width="13.421875" style="0" bestFit="1" customWidth="1"/>
    <col min="11" max="12" width="12.57421875" style="0" bestFit="1" customWidth="1"/>
    <col min="13" max="13" width="14.28125" style="0" bestFit="1" customWidth="1"/>
    <col min="14" max="14" width="15.00390625" style="0" bestFit="1" customWidth="1"/>
    <col min="15" max="15" width="12.5742187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36">
        <f>B5/600</f>
        <v>0</v>
      </c>
      <c r="C4" s="136">
        <f aca="true" t="shared" si="0" ref="C4:H4">C5/600</f>
        <v>0</v>
      </c>
      <c r="D4" s="136">
        <f t="shared" si="0"/>
        <v>0</v>
      </c>
      <c r="E4" s="136">
        <f t="shared" si="0"/>
        <v>0</v>
      </c>
      <c r="F4" s="136">
        <f t="shared" si="0"/>
        <v>0</v>
      </c>
      <c r="G4" s="136">
        <f t="shared" si="0"/>
        <v>0</v>
      </c>
      <c r="H4" s="136">
        <f t="shared" si="0"/>
        <v>0</v>
      </c>
      <c r="I4" s="140">
        <f>INT(I5/Calcs!$B$21)+1</f>
        <v>1</v>
      </c>
      <c r="J4" s="140">
        <f>INT(J5/Calcs!$B$21)+1</f>
        <v>1</v>
      </c>
      <c r="K4" s="140">
        <f>INT(K5/Calcs!$B$21)+1</f>
        <v>1</v>
      </c>
      <c r="L4" s="140">
        <f>INT(L5/Calcs!$B$21)+1</f>
        <v>1</v>
      </c>
      <c r="M4" s="140">
        <f>INT(M5/Calcs!$B$21)+1</f>
        <v>1</v>
      </c>
      <c r="N4" s="74"/>
    </row>
    <row r="5" spans="1:14" ht="15">
      <c r="A5" s="132" t="s">
        <v>204</v>
      </c>
      <c r="B5" s="136">
        <v>0</v>
      </c>
      <c r="C5" s="136">
        <v>0</v>
      </c>
      <c r="D5" s="136">
        <v>0</v>
      </c>
      <c r="E5" s="136">
        <v>0</v>
      </c>
      <c r="F5" s="136">
        <v>0</v>
      </c>
      <c r="G5" s="136">
        <v>0</v>
      </c>
      <c r="H5" s="136">
        <v>0</v>
      </c>
      <c r="I5" s="136">
        <v>80</v>
      </c>
      <c r="J5" s="136">
        <v>160</v>
      </c>
      <c r="K5" s="136">
        <v>320</v>
      </c>
      <c r="L5" s="136">
        <v>640</v>
      </c>
      <c r="M5" s="136">
        <f>L5*1.15</f>
        <v>736</v>
      </c>
      <c r="N5" s="116">
        <f>SUM(B5:M5)</f>
        <v>1936</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5" ht="15">
      <c r="A7" s="132" t="s">
        <v>55</v>
      </c>
      <c r="B7" s="21">
        <f>B5*$D$3</f>
        <v>0</v>
      </c>
      <c r="C7" s="21">
        <f aca="true" t="shared" si="1" ref="C7:M7">C5*$D$3</f>
        <v>0</v>
      </c>
      <c r="D7" s="21">
        <f t="shared" si="1"/>
        <v>0</v>
      </c>
      <c r="E7" s="21">
        <f t="shared" si="1"/>
        <v>0</v>
      </c>
      <c r="F7" s="21">
        <f t="shared" si="1"/>
        <v>0</v>
      </c>
      <c r="G7" s="21">
        <f t="shared" si="1"/>
        <v>0</v>
      </c>
      <c r="H7" s="21">
        <f t="shared" si="1"/>
        <v>0</v>
      </c>
      <c r="I7" s="21">
        <f t="shared" si="1"/>
        <v>15840</v>
      </c>
      <c r="J7" s="21">
        <f t="shared" si="1"/>
        <v>31680</v>
      </c>
      <c r="K7" s="21">
        <f t="shared" si="1"/>
        <v>63360</v>
      </c>
      <c r="L7" s="21">
        <f t="shared" si="1"/>
        <v>126720</v>
      </c>
      <c r="M7" s="21">
        <f t="shared" si="1"/>
        <v>145728</v>
      </c>
      <c r="N7" s="57">
        <f>SUM(B7:M7)</f>
        <v>383328</v>
      </c>
      <c r="O7" s="2"/>
    </row>
    <row r="8" spans="1:14" ht="15">
      <c r="A8" s="122"/>
      <c r="B8" s="113"/>
      <c r="C8" s="113"/>
      <c r="D8" s="113"/>
      <c r="E8" s="113"/>
      <c r="F8" s="113"/>
      <c r="G8" s="113"/>
      <c r="H8" s="113"/>
      <c r="I8" s="113"/>
      <c r="J8" s="113"/>
      <c r="K8" s="113"/>
      <c r="L8" s="113"/>
      <c r="M8" s="113"/>
      <c r="N8" s="117"/>
    </row>
    <row r="9" spans="1:14" ht="15">
      <c r="A9" s="132" t="s">
        <v>56</v>
      </c>
      <c r="B9" s="21">
        <f>B5*$B$3</f>
        <v>0</v>
      </c>
      <c r="C9" s="21">
        <f aca="true" t="shared" si="2" ref="C9:M9">C5*$B$3</f>
        <v>0</v>
      </c>
      <c r="D9" s="21">
        <f t="shared" si="2"/>
        <v>0</v>
      </c>
      <c r="E9" s="21">
        <f t="shared" si="2"/>
        <v>0</v>
      </c>
      <c r="F9" s="21">
        <f t="shared" si="2"/>
        <v>0</v>
      </c>
      <c r="G9" s="21">
        <f t="shared" si="2"/>
        <v>0</v>
      </c>
      <c r="H9" s="21">
        <f t="shared" si="2"/>
        <v>0</v>
      </c>
      <c r="I9" s="21">
        <f t="shared" si="2"/>
        <v>11040</v>
      </c>
      <c r="J9" s="21">
        <f t="shared" si="2"/>
        <v>22080</v>
      </c>
      <c r="K9" s="21">
        <f t="shared" si="2"/>
        <v>44160</v>
      </c>
      <c r="L9" s="21">
        <f t="shared" si="2"/>
        <v>88320</v>
      </c>
      <c r="M9" s="21">
        <f t="shared" si="2"/>
        <v>101568</v>
      </c>
      <c r="N9" s="57">
        <f>SUM(B9:M9)</f>
        <v>267168</v>
      </c>
    </row>
    <row r="10" spans="1:14" ht="15">
      <c r="A10" s="132" t="s">
        <v>199</v>
      </c>
      <c r="B10" s="138">
        <v>0</v>
      </c>
      <c r="C10" s="138">
        <v>0</v>
      </c>
      <c r="D10" s="138">
        <v>0</v>
      </c>
      <c r="E10" s="138">
        <v>0</v>
      </c>
      <c r="F10" s="138">
        <v>0</v>
      </c>
      <c r="G10" s="138">
        <v>0</v>
      </c>
      <c r="H10" s="138">
        <v>0</v>
      </c>
      <c r="I10" s="138">
        <v>0</v>
      </c>
      <c r="J10" s="138">
        <v>0</v>
      </c>
      <c r="K10" s="138">
        <v>0</v>
      </c>
      <c r="L10" s="138">
        <v>0</v>
      </c>
      <c r="M10" s="138">
        <v>0</v>
      </c>
      <c r="N10" s="57">
        <f>SUM(B10:M10)</f>
        <v>0</v>
      </c>
    </row>
    <row r="11" spans="1:14" ht="15">
      <c r="A11" s="132" t="s">
        <v>188</v>
      </c>
      <c r="B11" s="138">
        <v>0</v>
      </c>
      <c r="C11" s="138">
        <v>0</v>
      </c>
      <c r="D11" s="138">
        <v>0</v>
      </c>
      <c r="E11" s="138">
        <v>200000</v>
      </c>
      <c r="F11" s="138">
        <v>0</v>
      </c>
      <c r="G11" s="138">
        <v>0</v>
      </c>
      <c r="H11" s="138">
        <v>0</v>
      </c>
      <c r="I11" s="138">
        <v>0</v>
      </c>
      <c r="J11" s="138">
        <v>0</v>
      </c>
      <c r="K11" s="138">
        <v>0</v>
      </c>
      <c r="L11" s="138">
        <v>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3000</v>
      </c>
      <c r="G13" s="138">
        <v>3000</v>
      </c>
      <c r="H13" s="138">
        <v>3000</v>
      </c>
      <c r="I13" s="138">
        <v>3000</v>
      </c>
      <c r="J13" s="138">
        <v>3000</v>
      </c>
      <c r="K13" s="138">
        <v>3000</v>
      </c>
      <c r="L13" s="138">
        <v>3000</v>
      </c>
      <c r="M13" s="138">
        <v>3000</v>
      </c>
      <c r="N13" s="57">
        <f aca="true" t="shared" si="3" ref="N13:N31">SUM(B13:M13)</f>
        <v>36000</v>
      </c>
    </row>
    <row r="14" spans="1:14" ht="15">
      <c r="A14" s="132" t="s">
        <v>205</v>
      </c>
      <c r="B14" s="138">
        <v>0</v>
      </c>
      <c r="C14" s="138">
        <v>0</v>
      </c>
      <c r="D14" s="138">
        <v>0</v>
      </c>
      <c r="E14" s="138">
        <v>0</v>
      </c>
      <c r="F14" s="138">
        <v>10000</v>
      </c>
      <c r="G14" s="138">
        <v>0</v>
      </c>
      <c r="H14" s="138">
        <v>0</v>
      </c>
      <c r="I14" s="138">
        <v>0</v>
      </c>
      <c r="J14" s="138">
        <v>0</v>
      </c>
      <c r="K14" s="138">
        <v>0</v>
      </c>
      <c r="L14" s="138">
        <v>0</v>
      </c>
      <c r="M14" s="138">
        <v>0</v>
      </c>
      <c r="N14" s="57">
        <f t="shared" si="3"/>
        <v>10000</v>
      </c>
    </row>
    <row r="15" spans="1:14" ht="15">
      <c r="A15" s="132" t="s">
        <v>189</v>
      </c>
      <c r="B15" s="138">
        <v>0</v>
      </c>
      <c r="C15" s="138">
        <v>0</v>
      </c>
      <c r="D15" s="138">
        <v>0</v>
      </c>
      <c r="E15" s="138">
        <v>0</v>
      </c>
      <c r="F15" s="138">
        <v>0</v>
      </c>
      <c r="G15" s="138">
        <v>0</v>
      </c>
      <c r="H15" s="138">
        <v>4525</v>
      </c>
      <c r="I15" s="138">
        <v>4525</v>
      </c>
      <c r="J15" s="138">
        <v>4525</v>
      </c>
      <c r="K15" s="138">
        <v>4525</v>
      </c>
      <c r="L15" s="138">
        <v>4525</v>
      </c>
      <c r="M15" s="138">
        <v>4525</v>
      </c>
      <c r="N15" s="57">
        <f>SUM(B15:M15)</f>
        <v>27150</v>
      </c>
    </row>
    <row r="16" spans="1:14" ht="15">
      <c r="A16" s="132" t="s">
        <v>190</v>
      </c>
      <c r="B16" s="138">
        <v>0</v>
      </c>
      <c r="C16" s="138">
        <v>0</v>
      </c>
      <c r="D16" s="138">
        <v>0</v>
      </c>
      <c r="E16" s="138">
        <v>0</v>
      </c>
      <c r="F16" s="138">
        <v>0</v>
      </c>
      <c r="G16" s="138">
        <v>0</v>
      </c>
      <c r="H16" s="138">
        <v>0</v>
      </c>
      <c r="I16" s="138">
        <v>0</v>
      </c>
      <c r="J16" s="138">
        <v>0</v>
      </c>
      <c r="K16" s="138">
        <v>0</v>
      </c>
      <c r="L16" s="138">
        <v>4525</v>
      </c>
      <c r="M16" s="138">
        <v>4525</v>
      </c>
      <c r="N16" s="57">
        <f t="shared" si="3"/>
        <v>9050</v>
      </c>
    </row>
    <row r="17" spans="1:14" ht="15">
      <c r="A17" s="132" t="s">
        <v>191</v>
      </c>
      <c r="B17" s="138">
        <v>0</v>
      </c>
      <c r="C17" s="138">
        <v>0</v>
      </c>
      <c r="D17" s="138">
        <v>0</v>
      </c>
      <c r="E17" s="138">
        <v>0</v>
      </c>
      <c r="F17" s="138">
        <v>0</v>
      </c>
      <c r="G17" s="138">
        <v>0</v>
      </c>
      <c r="H17" s="138">
        <v>0</v>
      </c>
      <c r="I17" s="138">
        <v>0</v>
      </c>
      <c r="J17" s="138">
        <v>0</v>
      </c>
      <c r="K17" s="138">
        <v>0</v>
      </c>
      <c r="L17" s="138">
        <v>0</v>
      </c>
      <c r="M17" s="138">
        <v>0</v>
      </c>
      <c r="N17" s="57">
        <f t="shared" si="3"/>
        <v>0</v>
      </c>
    </row>
    <row r="18" spans="1:14" ht="15">
      <c r="A18" s="132" t="s">
        <v>192</v>
      </c>
      <c r="B18" s="138">
        <v>0</v>
      </c>
      <c r="C18" s="138">
        <v>0</v>
      </c>
      <c r="D18" s="138">
        <v>0</v>
      </c>
      <c r="E18" s="138">
        <v>0</v>
      </c>
      <c r="F18" s="138">
        <v>0</v>
      </c>
      <c r="G18" s="138">
        <v>0</v>
      </c>
      <c r="H18" s="138">
        <v>0</v>
      </c>
      <c r="I18" s="138">
        <v>0</v>
      </c>
      <c r="J18" s="138">
        <v>0</v>
      </c>
      <c r="K18" s="138">
        <v>0</v>
      </c>
      <c r="L18" s="138">
        <v>0</v>
      </c>
      <c r="M18" s="138">
        <v>0</v>
      </c>
      <c r="N18" s="57">
        <f t="shared" si="3"/>
        <v>0</v>
      </c>
    </row>
    <row r="19" spans="1:14" ht="15">
      <c r="A19" s="132" t="s">
        <v>194</v>
      </c>
      <c r="B19" s="138">
        <v>0</v>
      </c>
      <c r="C19" s="138">
        <v>0</v>
      </c>
      <c r="D19" s="138">
        <v>0</v>
      </c>
      <c r="E19" s="138">
        <v>0</v>
      </c>
      <c r="F19" s="138">
        <v>0</v>
      </c>
      <c r="G19" s="138">
        <v>0</v>
      </c>
      <c r="H19" s="144">
        <v>4400</v>
      </c>
      <c r="I19" s="144">
        <v>4400</v>
      </c>
      <c r="J19" s="144">
        <v>4400</v>
      </c>
      <c r="K19" s="144">
        <v>4400</v>
      </c>
      <c r="L19" s="144">
        <v>8800</v>
      </c>
      <c r="M19" s="144">
        <v>8800</v>
      </c>
      <c r="N19" s="57">
        <f t="shared" si="3"/>
        <v>35200</v>
      </c>
    </row>
    <row r="20" spans="1:14" ht="15">
      <c r="A20" s="132" t="s">
        <v>193</v>
      </c>
      <c r="B20" s="138">
        <v>0</v>
      </c>
      <c r="C20" s="138">
        <v>0</v>
      </c>
      <c r="D20" s="138">
        <v>0</v>
      </c>
      <c r="E20" s="138">
        <v>0</v>
      </c>
      <c r="F20" s="138">
        <v>0</v>
      </c>
      <c r="G20" s="138">
        <v>0</v>
      </c>
      <c r="H20" s="138">
        <v>0</v>
      </c>
      <c r="I20" s="138">
        <v>0</v>
      </c>
      <c r="J20" s="138">
        <v>0</v>
      </c>
      <c r="K20" s="138">
        <v>0</v>
      </c>
      <c r="L20" s="138">
        <v>0</v>
      </c>
      <c r="M20" s="138">
        <v>0</v>
      </c>
      <c r="N20" s="57">
        <f t="shared" si="3"/>
        <v>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 t="shared" si="3"/>
        <v>132000</v>
      </c>
    </row>
    <row r="22" spans="1:14" ht="15">
      <c r="A22" s="132" t="s">
        <v>67</v>
      </c>
      <c r="B22" s="138">
        <v>2750</v>
      </c>
      <c r="C22" s="138">
        <v>2750</v>
      </c>
      <c r="D22" s="138">
        <v>2750</v>
      </c>
      <c r="E22" s="138">
        <v>2750</v>
      </c>
      <c r="F22" s="138">
        <v>2750</v>
      </c>
      <c r="G22" s="138">
        <v>11000</v>
      </c>
      <c r="H22" s="138">
        <v>11000</v>
      </c>
      <c r="I22" s="138">
        <v>11000</v>
      </c>
      <c r="J22" s="138">
        <v>11000</v>
      </c>
      <c r="K22" s="138">
        <v>11000</v>
      </c>
      <c r="L22" s="138">
        <v>11000</v>
      </c>
      <c r="M22" s="138">
        <v>11000</v>
      </c>
      <c r="N22" s="57">
        <f t="shared" si="3"/>
        <v>90750</v>
      </c>
    </row>
    <row r="23" spans="1:14" ht="15">
      <c r="A23" s="132" t="s">
        <v>43</v>
      </c>
      <c r="B23" s="138">
        <v>0</v>
      </c>
      <c r="C23" s="138">
        <v>0</v>
      </c>
      <c r="D23" s="138">
        <v>0</v>
      </c>
      <c r="E23" s="138">
        <v>0</v>
      </c>
      <c r="F23" s="138">
        <v>0</v>
      </c>
      <c r="G23" s="138">
        <v>0</v>
      </c>
      <c r="H23" s="138">
        <v>0</v>
      </c>
      <c r="I23" s="138">
        <v>0</v>
      </c>
      <c r="J23" s="138">
        <v>0</v>
      </c>
      <c r="K23" s="138">
        <v>0</v>
      </c>
      <c r="L23" s="138">
        <v>0</v>
      </c>
      <c r="M23" s="138">
        <v>0</v>
      </c>
      <c r="N23" s="57">
        <f t="shared" si="3"/>
        <v>0</v>
      </c>
    </row>
    <row r="24" spans="1:14" ht="15">
      <c r="A24" s="132" t="s">
        <v>62</v>
      </c>
      <c r="B24" s="138">
        <v>0</v>
      </c>
      <c r="C24" s="138">
        <v>0</v>
      </c>
      <c r="D24" s="138">
        <v>0</v>
      </c>
      <c r="E24" s="138">
        <v>0</v>
      </c>
      <c r="F24" s="138">
        <v>0</v>
      </c>
      <c r="G24" s="138">
        <v>0</v>
      </c>
      <c r="H24" s="138">
        <v>2500</v>
      </c>
      <c r="I24" s="138">
        <v>2500</v>
      </c>
      <c r="J24" s="138">
        <v>2500</v>
      </c>
      <c r="K24" s="138">
        <v>2500</v>
      </c>
      <c r="L24" s="138">
        <v>2500</v>
      </c>
      <c r="M24" s="138">
        <v>2500</v>
      </c>
      <c r="N24" s="57">
        <f t="shared" si="3"/>
        <v>15000</v>
      </c>
    </row>
    <row r="25" spans="1:14" ht="15">
      <c r="A25" s="132" t="s">
        <v>96</v>
      </c>
      <c r="B25" s="138">
        <v>3500</v>
      </c>
      <c r="C25" s="138">
        <v>3500</v>
      </c>
      <c r="D25" s="138">
        <v>3500</v>
      </c>
      <c r="E25" s="138">
        <v>3500</v>
      </c>
      <c r="F25" s="138">
        <v>3500</v>
      </c>
      <c r="G25" s="138">
        <v>3500</v>
      </c>
      <c r="H25" s="138">
        <v>20000</v>
      </c>
      <c r="I25" s="138">
        <v>20000</v>
      </c>
      <c r="J25" s="138">
        <v>20000</v>
      </c>
      <c r="K25" s="138">
        <v>20000</v>
      </c>
      <c r="L25" s="138">
        <v>20000</v>
      </c>
      <c r="M25" s="138">
        <v>20000</v>
      </c>
      <c r="N25" s="57">
        <f t="shared" si="3"/>
        <v>141000</v>
      </c>
    </row>
    <row r="26" spans="1:14" ht="15">
      <c r="A26" s="132" t="s">
        <v>45</v>
      </c>
      <c r="B26" s="138">
        <v>1000</v>
      </c>
      <c r="C26" s="138">
        <v>1000</v>
      </c>
      <c r="D26" s="138">
        <v>1000</v>
      </c>
      <c r="E26" s="138">
        <v>1000</v>
      </c>
      <c r="F26" s="138">
        <v>1000</v>
      </c>
      <c r="G26" s="138">
        <v>1000</v>
      </c>
      <c r="H26" s="138">
        <v>3000</v>
      </c>
      <c r="I26" s="138">
        <v>3000</v>
      </c>
      <c r="J26" s="138">
        <v>3000</v>
      </c>
      <c r="K26" s="138">
        <v>3000</v>
      </c>
      <c r="L26" s="138">
        <v>3000</v>
      </c>
      <c r="M26" s="138">
        <v>3000</v>
      </c>
      <c r="N26" s="57">
        <f t="shared" si="3"/>
        <v>24000</v>
      </c>
    </row>
    <row r="27" spans="1:14" ht="15">
      <c r="A27" s="132" t="s">
        <v>46</v>
      </c>
      <c r="B27" s="138">
        <v>250</v>
      </c>
      <c r="C27" s="138">
        <v>250</v>
      </c>
      <c r="D27" s="138">
        <v>250</v>
      </c>
      <c r="E27" s="138">
        <v>250</v>
      </c>
      <c r="F27" s="138">
        <v>250</v>
      </c>
      <c r="G27" s="138">
        <v>250</v>
      </c>
      <c r="H27" s="138">
        <v>500</v>
      </c>
      <c r="I27" s="138">
        <f>(I4*300*30*0.007469)*2+1000</f>
        <v>1134.442</v>
      </c>
      <c r="J27" s="138">
        <f>(J4*300*30*0.007469)*2+1000</f>
        <v>1134.442</v>
      </c>
      <c r="K27" s="138">
        <f>(K4*300*30*0.007469)*2+1000</f>
        <v>1134.442</v>
      </c>
      <c r="L27" s="138">
        <f>(L4*300*30*0.007469)*2+1000</f>
        <v>1134.442</v>
      </c>
      <c r="M27" s="138">
        <f>(M4*300*30*0.007469)*2+1000</f>
        <v>1134.442</v>
      </c>
      <c r="N27" s="57">
        <f t="shared" si="3"/>
        <v>7672.21</v>
      </c>
    </row>
    <row r="28" spans="1:14" ht="15">
      <c r="A28" s="132" t="s">
        <v>48</v>
      </c>
      <c r="B28" s="138">
        <v>1500</v>
      </c>
      <c r="C28" s="138">
        <v>1500</v>
      </c>
      <c r="D28" s="138">
        <v>1500</v>
      </c>
      <c r="E28" s="138">
        <v>1500</v>
      </c>
      <c r="F28" s="138">
        <v>1500</v>
      </c>
      <c r="G28" s="138">
        <v>1500</v>
      </c>
      <c r="H28" s="138">
        <v>10000</v>
      </c>
      <c r="I28" s="138">
        <v>10000</v>
      </c>
      <c r="J28" s="138">
        <v>10000</v>
      </c>
      <c r="K28" s="138">
        <v>10000</v>
      </c>
      <c r="L28" s="138">
        <v>10000</v>
      </c>
      <c r="M28" s="138">
        <v>10000</v>
      </c>
      <c r="N28" s="57">
        <f t="shared" si="3"/>
        <v>69000</v>
      </c>
    </row>
    <row r="29" spans="1:14" ht="15">
      <c r="A29" s="132" t="s">
        <v>50</v>
      </c>
      <c r="B29" s="138">
        <v>0</v>
      </c>
      <c r="C29" s="138">
        <v>0</v>
      </c>
      <c r="D29" s="138">
        <v>0</v>
      </c>
      <c r="E29" s="138">
        <v>0</v>
      </c>
      <c r="F29" s="138">
        <v>0</v>
      </c>
      <c r="G29" s="138">
        <v>0</v>
      </c>
      <c r="H29" s="138">
        <v>0</v>
      </c>
      <c r="I29" s="138">
        <v>1500</v>
      </c>
      <c r="J29" s="138">
        <v>1500</v>
      </c>
      <c r="K29" s="138">
        <v>1500</v>
      </c>
      <c r="L29" s="138">
        <v>1500</v>
      </c>
      <c r="M29" s="138">
        <v>1500</v>
      </c>
      <c r="N29" s="57">
        <f t="shared" si="3"/>
        <v>7500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v>0</v>
      </c>
      <c r="C31" s="138">
        <v>0</v>
      </c>
      <c r="D31" s="138">
        <v>0</v>
      </c>
      <c r="E31" s="138">
        <v>0</v>
      </c>
      <c r="F31" s="138">
        <v>0</v>
      </c>
      <c r="G31" s="138">
        <f>6500+2*(G5/2)</f>
        <v>6500</v>
      </c>
      <c r="H31" s="138">
        <f aca="true" t="shared" si="4" ref="H31:M31">6500+2*(H5/2)</f>
        <v>6500</v>
      </c>
      <c r="I31" s="138">
        <f t="shared" si="4"/>
        <v>6580</v>
      </c>
      <c r="J31" s="138">
        <f t="shared" si="4"/>
        <v>6660</v>
      </c>
      <c r="K31" s="138">
        <f t="shared" si="4"/>
        <v>6820</v>
      </c>
      <c r="L31" s="138">
        <f t="shared" si="4"/>
        <v>7140</v>
      </c>
      <c r="M31" s="138">
        <f t="shared" si="4"/>
        <v>7236</v>
      </c>
      <c r="N31" s="57">
        <f t="shared" si="3"/>
        <v>47436</v>
      </c>
    </row>
    <row r="32" spans="1:14" ht="15">
      <c r="A32" s="133" t="s">
        <v>59</v>
      </c>
      <c r="B32" s="139">
        <v>0</v>
      </c>
      <c r="C32" s="139">
        <v>0</v>
      </c>
      <c r="D32" s="139">
        <v>0</v>
      </c>
      <c r="E32" s="139">
        <v>0</v>
      </c>
      <c r="F32" s="139">
        <v>0</v>
      </c>
      <c r="G32" s="138">
        <f aca="true" t="shared" si="5" ref="G32:M33">3400+1*(G4/2)</f>
        <v>3400</v>
      </c>
      <c r="H32" s="138">
        <f t="shared" si="5"/>
        <v>3400</v>
      </c>
      <c r="I32" s="138">
        <f t="shared" si="5"/>
        <v>3400.5</v>
      </c>
      <c r="J32" s="138">
        <f t="shared" si="5"/>
        <v>3400.5</v>
      </c>
      <c r="K32" s="138">
        <f t="shared" si="5"/>
        <v>3400.5</v>
      </c>
      <c r="L32" s="138">
        <f t="shared" si="5"/>
        <v>3400.5</v>
      </c>
      <c r="M32" s="138">
        <f t="shared" si="5"/>
        <v>3400.5</v>
      </c>
      <c r="N32" s="57">
        <f>SUM(B32:M32)</f>
        <v>23802.5</v>
      </c>
    </row>
    <row r="33" spans="1:14" ht="15.75" thickBot="1">
      <c r="A33" s="133" t="s">
        <v>58</v>
      </c>
      <c r="B33" s="139">
        <v>0</v>
      </c>
      <c r="C33" s="139">
        <v>0</v>
      </c>
      <c r="D33" s="139">
        <v>0</v>
      </c>
      <c r="E33" s="139">
        <v>0</v>
      </c>
      <c r="F33" s="139">
        <v>0</v>
      </c>
      <c r="G33" s="138">
        <f t="shared" si="5"/>
        <v>3400</v>
      </c>
      <c r="H33" s="138">
        <f t="shared" si="5"/>
        <v>3400</v>
      </c>
      <c r="I33" s="138">
        <f t="shared" si="5"/>
        <v>3440</v>
      </c>
      <c r="J33" s="138">
        <f t="shared" si="5"/>
        <v>3480</v>
      </c>
      <c r="K33" s="138">
        <f t="shared" si="5"/>
        <v>3560</v>
      </c>
      <c r="L33" s="138">
        <f t="shared" si="5"/>
        <v>3720</v>
      </c>
      <c r="M33" s="138">
        <f t="shared" si="5"/>
        <v>3768</v>
      </c>
      <c r="N33" s="34">
        <f>SUM(B33:M33)</f>
        <v>24768</v>
      </c>
    </row>
    <row r="34" spans="1:14" ht="15.75" thickBot="1">
      <c r="A34" s="134" t="s">
        <v>94</v>
      </c>
      <c r="B34" s="22">
        <f aca="true" t="shared" si="6" ref="B34:M34">B7-SUM(B9:B33)</f>
        <v>-24667</v>
      </c>
      <c r="C34" s="22">
        <f t="shared" si="6"/>
        <v>-24667</v>
      </c>
      <c r="D34" s="22">
        <f t="shared" si="6"/>
        <v>-24667</v>
      </c>
      <c r="E34" s="22">
        <f t="shared" si="6"/>
        <v>-224667</v>
      </c>
      <c r="F34" s="22">
        <f t="shared" si="6"/>
        <v>-34667</v>
      </c>
      <c r="G34" s="22">
        <f t="shared" si="6"/>
        <v>-46217</v>
      </c>
      <c r="H34" s="22">
        <f t="shared" si="6"/>
        <v>-84892</v>
      </c>
      <c r="I34" s="22">
        <f t="shared" si="6"/>
        <v>-82346.942</v>
      </c>
      <c r="J34" s="22">
        <f t="shared" si="6"/>
        <v>-77666.942</v>
      </c>
      <c r="K34" s="22">
        <f t="shared" si="6"/>
        <v>-68306.94199999998</v>
      </c>
      <c r="L34" s="22">
        <f t="shared" si="6"/>
        <v>-58511.94200000001</v>
      </c>
      <c r="M34" s="22">
        <f t="shared" si="6"/>
        <v>-52895.94200000001</v>
      </c>
      <c r="N34" s="23">
        <f>SUM(B34:M34)</f>
        <v>-804172.7100000002</v>
      </c>
    </row>
    <row r="35" ht="15">
      <c r="D35" s="2"/>
    </row>
    <row r="37" spans="1:14" ht="15">
      <c r="A37" s="173" t="s">
        <v>212</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3" spans="1:14" ht="15">
      <c r="A43" s="173"/>
      <c r="B43" s="173"/>
      <c r="C43" s="173"/>
      <c r="D43" s="173"/>
      <c r="E43" s="173"/>
      <c r="F43" s="173"/>
      <c r="G43" s="173"/>
      <c r="H43" s="173"/>
      <c r="I43" s="173"/>
      <c r="J43" s="173"/>
      <c r="K43" s="173"/>
      <c r="L43" s="173"/>
      <c r="M43" s="173"/>
      <c r="N43" s="173"/>
    </row>
    <row r="45" spans="2:7" ht="15">
      <c r="B45" s="174" t="s">
        <v>208</v>
      </c>
      <c r="C45" s="174"/>
      <c r="D45" s="174"/>
      <c r="E45" s="174"/>
      <c r="F45" s="174"/>
      <c r="G45" s="174"/>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45"/>
  <sheetViews>
    <sheetView view="pageLayout" workbookViewId="0" topLeftCell="A19">
      <selection activeCell="A2" sqref="A2"/>
    </sheetView>
  </sheetViews>
  <sheetFormatPr defaultColWidth="9.140625" defaultRowHeight="15"/>
  <cols>
    <col min="1" max="1" width="28.140625" style="0" bestFit="1" customWidth="1"/>
    <col min="2" max="2" width="13.421875" style="0" bestFit="1" customWidth="1"/>
    <col min="3" max="4" width="12.57421875" style="0" bestFit="1" customWidth="1"/>
    <col min="5" max="5" width="13.421875" style="0" bestFit="1" customWidth="1"/>
    <col min="6" max="13" width="14.28125" style="0" bestFit="1" customWidth="1"/>
    <col min="14" max="14" width="15.2812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f>INT(B5/Calcs!$B$21)+1</f>
        <v>1</v>
      </c>
      <c r="C4" s="140">
        <f>INT(C5/Calcs!$B$21)+1</f>
        <v>1</v>
      </c>
      <c r="D4" s="140">
        <f>INT(D5/Calcs!$B$21)+1</f>
        <v>1</v>
      </c>
      <c r="E4" s="140">
        <f>INT(E5/Calcs!$B$21)+1</f>
        <v>1</v>
      </c>
      <c r="F4" s="140">
        <f>INT(F5/Calcs!$B$21)+1</f>
        <v>1</v>
      </c>
      <c r="G4" s="140">
        <f>INT(G5/Calcs!$B$21)+1</f>
        <v>1</v>
      </c>
      <c r="H4" s="140">
        <f>INT(H5/Calcs!$B$21)+1</f>
        <v>1</v>
      </c>
      <c r="I4" s="140">
        <f>INT(I5/Calcs!$B$21)+1</f>
        <v>1</v>
      </c>
      <c r="J4" s="140">
        <f>INT(J5/Calcs!$B$21)+1</f>
        <v>1</v>
      </c>
      <c r="K4" s="140">
        <f>INT(K5/Calcs!$B$21)+1</f>
        <v>1</v>
      </c>
      <c r="L4" s="140">
        <f>INT(L5/Calcs!$B$21)+1</f>
        <v>1</v>
      </c>
      <c r="M4" s="140">
        <v>1</v>
      </c>
      <c r="N4" s="74"/>
    </row>
    <row r="5" spans="1:14" ht="15">
      <c r="A5" s="132" t="s">
        <v>204</v>
      </c>
      <c r="B5" s="136">
        <f>'FY 1 Worst'!M5*1.1</f>
        <v>809.6</v>
      </c>
      <c r="C5" s="136">
        <f>B5*1.1</f>
        <v>890.5600000000001</v>
      </c>
      <c r="D5" s="136">
        <f aca="true" t="shared" si="0" ref="D5:M5">C5*1.1</f>
        <v>979.6160000000001</v>
      </c>
      <c r="E5" s="136">
        <f t="shared" si="0"/>
        <v>1077.5776000000003</v>
      </c>
      <c r="F5" s="136">
        <f t="shared" si="0"/>
        <v>1185.3353600000005</v>
      </c>
      <c r="G5" s="136">
        <f t="shared" si="0"/>
        <v>1303.8688960000006</v>
      </c>
      <c r="H5" s="136">
        <f t="shared" si="0"/>
        <v>1434.2557856000008</v>
      </c>
      <c r="I5" s="136">
        <f t="shared" si="0"/>
        <v>1577.681364160001</v>
      </c>
      <c r="J5" s="136">
        <f t="shared" si="0"/>
        <v>1735.4495005760014</v>
      </c>
      <c r="K5" s="136">
        <f t="shared" si="0"/>
        <v>1908.9944506336017</v>
      </c>
      <c r="L5" s="136">
        <f t="shared" si="0"/>
        <v>2099.893895696962</v>
      </c>
      <c r="M5" s="136">
        <f t="shared" si="0"/>
        <v>2309.8832852666583</v>
      </c>
      <c r="N5" s="116">
        <f>SUM(B5:M5)</f>
        <v>17312.716137933225</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160300.80000000002</v>
      </c>
      <c r="C7" s="30">
        <f aca="true" t="shared" si="1" ref="C7:M7">C5*$D$3</f>
        <v>176330.88</v>
      </c>
      <c r="D7" s="30">
        <f t="shared" si="1"/>
        <v>193963.96800000002</v>
      </c>
      <c r="E7" s="30">
        <f t="shared" si="1"/>
        <v>213360.36480000007</v>
      </c>
      <c r="F7" s="30">
        <f t="shared" si="1"/>
        <v>234696.4012800001</v>
      </c>
      <c r="G7" s="30">
        <f t="shared" si="1"/>
        <v>258166.04140800014</v>
      </c>
      <c r="H7" s="30">
        <f t="shared" si="1"/>
        <v>283982.6455488001</v>
      </c>
      <c r="I7" s="30">
        <f t="shared" si="1"/>
        <v>312380.9101036802</v>
      </c>
      <c r="J7" s="30">
        <f t="shared" si="1"/>
        <v>343619.0011140483</v>
      </c>
      <c r="K7" s="30">
        <f t="shared" si="1"/>
        <v>377980.9012254531</v>
      </c>
      <c r="L7" s="30">
        <f t="shared" si="1"/>
        <v>415778.99134799844</v>
      </c>
      <c r="M7" s="30">
        <f t="shared" si="1"/>
        <v>457356.89048279834</v>
      </c>
      <c r="N7" s="31">
        <f>SUM(B7:M7)</f>
        <v>3427917.7953107785</v>
      </c>
    </row>
    <row r="8" spans="1:14" ht="15">
      <c r="A8" s="122"/>
      <c r="B8" s="35"/>
      <c r="C8" s="35"/>
      <c r="D8" s="35"/>
      <c r="E8" s="35"/>
      <c r="F8" s="35"/>
      <c r="G8" s="35"/>
      <c r="H8" s="35"/>
      <c r="I8" s="35"/>
      <c r="J8" s="35"/>
      <c r="K8" s="35"/>
      <c r="L8" s="35"/>
      <c r="M8" s="35"/>
      <c r="N8" s="36"/>
    </row>
    <row r="9" spans="1:14" ht="15">
      <c r="A9" s="132" t="s">
        <v>56</v>
      </c>
      <c r="B9" s="21">
        <f>B5*$B$3</f>
        <v>111724.8</v>
      </c>
      <c r="C9" s="21">
        <f aca="true" t="shared" si="2" ref="C9:M9">C5*$B$3</f>
        <v>122897.28000000001</v>
      </c>
      <c r="D9" s="21">
        <f t="shared" si="2"/>
        <v>135187.008</v>
      </c>
      <c r="E9" s="21">
        <f t="shared" si="2"/>
        <v>148705.70880000005</v>
      </c>
      <c r="F9" s="21">
        <f t="shared" si="2"/>
        <v>163576.27968000007</v>
      </c>
      <c r="G9" s="21">
        <f t="shared" si="2"/>
        <v>179933.90764800008</v>
      </c>
      <c r="H9" s="21">
        <f t="shared" si="2"/>
        <v>197927.2984128001</v>
      </c>
      <c r="I9" s="21">
        <f t="shared" si="2"/>
        <v>217720.02825408016</v>
      </c>
      <c r="J9" s="21">
        <f t="shared" si="2"/>
        <v>239492.0310794882</v>
      </c>
      <c r="K9" s="21">
        <f t="shared" si="2"/>
        <v>263441.23418743705</v>
      </c>
      <c r="L9" s="21">
        <f t="shared" si="2"/>
        <v>289785.3576061807</v>
      </c>
      <c r="M9" s="21">
        <f t="shared" si="2"/>
        <v>318763.8933667988</v>
      </c>
      <c r="N9" s="31">
        <f>SUM(B9:M9)</f>
        <v>2389154.827034785</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0</v>
      </c>
      <c r="D11" s="138">
        <v>0</v>
      </c>
      <c r="E11" s="138">
        <v>0</v>
      </c>
      <c r="F11" s="138">
        <v>0</v>
      </c>
      <c r="G11" s="138">
        <v>0</v>
      </c>
      <c r="H11" s="138">
        <v>0</v>
      </c>
      <c r="I11" s="138">
        <v>0</v>
      </c>
      <c r="J11" s="138">
        <v>200000</v>
      </c>
      <c r="K11" s="138">
        <v>0</v>
      </c>
      <c r="L11" s="138">
        <v>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3000</v>
      </c>
      <c r="G13" s="138">
        <v>3000</v>
      </c>
      <c r="H13" s="138">
        <v>3000</v>
      </c>
      <c r="I13" s="138">
        <v>3000</v>
      </c>
      <c r="J13" s="138">
        <v>3000</v>
      </c>
      <c r="K13" s="138">
        <v>25000</v>
      </c>
      <c r="L13" s="138">
        <v>25000</v>
      </c>
      <c r="M13" s="138">
        <v>25000</v>
      </c>
      <c r="N13" s="57">
        <f aca="true" t="shared" si="3" ref="N13:N31">SUM(B13:M13)</f>
        <v>102000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4525</v>
      </c>
      <c r="C15" s="138">
        <v>4525</v>
      </c>
      <c r="D15" s="138">
        <v>4525</v>
      </c>
      <c r="E15" s="138">
        <v>4525</v>
      </c>
      <c r="F15" s="138">
        <v>4525</v>
      </c>
      <c r="G15" s="138">
        <v>4525</v>
      </c>
      <c r="H15" s="138">
        <v>4525</v>
      </c>
      <c r="I15" s="138">
        <v>4525</v>
      </c>
      <c r="J15" s="138">
        <v>4525</v>
      </c>
      <c r="K15" s="138">
        <v>4525</v>
      </c>
      <c r="L15" s="138">
        <v>4525</v>
      </c>
      <c r="M15" s="138">
        <v>4525</v>
      </c>
      <c r="N15" s="57">
        <f t="shared" si="3"/>
        <v>54300</v>
      </c>
    </row>
    <row r="16" spans="1:14" ht="15">
      <c r="A16" s="132" t="s">
        <v>190</v>
      </c>
      <c r="B16" s="138">
        <v>4525</v>
      </c>
      <c r="C16" s="138">
        <v>4525</v>
      </c>
      <c r="D16" s="138">
        <v>4525</v>
      </c>
      <c r="E16" s="138">
        <v>4525</v>
      </c>
      <c r="F16" s="138">
        <v>4525</v>
      </c>
      <c r="G16" s="138">
        <v>4525</v>
      </c>
      <c r="H16" s="138">
        <v>4525</v>
      </c>
      <c r="I16" s="138">
        <v>4525</v>
      </c>
      <c r="J16" s="138">
        <v>4525</v>
      </c>
      <c r="K16" s="138">
        <v>4525</v>
      </c>
      <c r="L16" s="138">
        <v>4525</v>
      </c>
      <c r="M16" s="138">
        <v>4525</v>
      </c>
      <c r="N16" s="57">
        <f t="shared" si="3"/>
        <v>54300</v>
      </c>
    </row>
    <row r="17" spans="1:14" ht="15">
      <c r="A17" s="132" t="s">
        <v>191</v>
      </c>
      <c r="B17" s="138">
        <v>0</v>
      </c>
      <c r="C17" s="138">
        <v>0</v>
      </c>
      <c r="D17" s="138">
        <v>0</v>
      </c>
      <c r="E17" s="138">
        <v>0</v>
      </c>
      <c r="F17" s="138">
        <v>0</v>
      </c>
      <c r="G17" s="138">
        <v>4525</v>
      </c>
      <c r="H17" s="138">
        <v>4525</v>
      </c>
      <c r="I17" s="138">
        <v>4525</v>
      </c>
      <c r="J17" s="138">
        <v>4525</v>
      </c>
      <c r="K17" s="138">
        <v>4525</v>
      </c>
      <c r="L17" s="138">
        <v>4525</v>
      </c>
      <c r="M17" s="138">
        <v>4525</v>
      </c>
      <c r="N17" s="57">
        <f t="shared" si="3"/>
        <v>31675</v>
      </c>
    </row>
    <row r="18" spans="1:14" ht="15">
      <c r="A18" s="132" t="s">
        <v>192</v>
      </c>
      <c r="B18" s="138">
        <v>0</v>
      </c>
      <c r="C18" s="138">
        <v>0</v>
      </c>
      <c r="D18" s="138">
        <v>0</v>
      </c>
      <c r="E18" s="138">
        <v>0</v>
      </c>
      <c r="F18" s="138">
        <v>0</v>
      </c>
      <c r="G18" s="138">
        <v>0</v>
      </c>
      <c r="H18" s="138">
        <v>0</v>
      </c>
      <c r="I18" s="138">
        <v>0</v>
      </c>
      <c r="J18" s="138">
        <v>0</v>
      </c>
      <c r="K18" s="138">
        <v>4525</v>
      </c>
      <c r="L18" s="138">
        <v>4525</v>
      </c>
      <c r="M18" s="138">
        <v>4525</v>
      </c>
      <c r="N18" s="57">
        <f>SUM(B18:M18)</f>
        <v>13575</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38">
        <v>0</v>
      </c>
      <c r="C20" s="138">
        <v>0</v>
      </c>
      <c r="D20" s="138">
        <v>0</v>
      </c>
      <c r="E20" s="138">
        <v>0</v>
      </c>
      <c r="F20" s="138">
        <v>0</v>
      </c>
      <c r="G20" s="138">
        <v>4400</v>
      </c>
      <c r="H20" s="138">
        <v>4400</v>
      </c>
      <c r="I20" s="138">
        <v>4400</v>
      </c>
      <c r="J20" s="138">
        <v>4400</v>
      </c>
      <c r="K20" s="144">
        <v>8800</v>
      </c>
      <c r="L20" s="144">
        <v>8800</v>
      </c>
      <c r="M20" s="144">
        <v>8800</v>
      </c>
      <c r="N20" s="57">
        <f>SUM(B20:M20)</f>
        <v>44000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20000</v>
      </c>
      <c r="C25" s="138">
        <v>20000</v>
      </c>
      <c r="D25" s="138">
        <v>20000</v>
      </c>
      <c r="E25" s="138">
        <v>20000</v>
      </c>
      <c r="F25" s="138">
        <v>20000</v>
      </c>
      <c r="G25" s="138">
        <v>20000</v>
      </c>
      <c r="H25" s="138">
        <v>20000</v>
      </c>
      <c r="I25" s="138">
        <v>20000</v>
      </c>
      <c r="J25" s="138">
        <v>20000</v>
      </c>
      <c r="K25" s="138">
        <v>20000</v>
      </c>
      <c r="L25" s="138">
        <v>20000</v>
      </c>
      <c r="M25" s="138">
        <v>20000</v>
      </c>
      <c r="N25" s="57">
        <f t="shared" si="3"/>
        <v>240000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1134.442</v>
      </c>
      <c r="C27" s="138">
        <f aca="true" t="shared" si="4" ref="C27:M27">(C4*300*30*0.007469)*2+1000</f>
        <v>1134.442</v>
      </c>
      <c r="D27" s="138">
        <f t="shared" si="4"/>
        <v>1134.442</v>
      </c>
      <c r="E27" s="138">
        <f t="shared" si="4"/>
        <v>1134.442</v>
      </c>
      <c r="F27" s="138">
        <f t="shared" si="4"/>
        <v>1134.442</v>
      </c>
      <c r="G27" s="138">
        <f t="shared" si="4"/>
        <v>1134.442</v>
      </c>
      <c r="H27" s="138">
        <f t="shared" si="4"/>
        <v>1134.442</v>
      </c>
      <c r="I27" s="138">
        <f t="shared" si="4"/>
        <v>1134.442</v>
      </c>
      <c r="J27" s="138">
        <f t="shared" si="4"/>
        <v>1134.442</v>
      </c>
      <c r="K27" s="138">
        <f t="shared" si="4"/>
        <v>1134.442</v>
      </c>
      <c r="L27" s="138">
        <f t="shared" si="4"/>
        <v>1134.442</v>
      </c>
      <c r="M27" s="138">
        <f t="shared" si="4"/>
        <v>1134.442</v>
      </c>
      <c r="N27" s="57">
        <f t="shared" si="3"/>
        <v>13613.303999999996</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f>6500+2*(B5/2)</f>
        <v>7309.6</v>
      </c>
      <c r="C31" s="138">
        <f aca="true" t="shared" si="5" ref="C31:M31">6500+2*(C5/2)</f>
        <v>7390.56</v>
      </c>
      <c r="D31" s="138">
        <f t="shared" si="5"/>
        <v>7479.616</v>
      </c>
      <c r="E31" s="138">
        <f t="shared" si="5"/>
        <v>7577.5776000000005</v>
      </c>
      <c r="F31" s="138">
        <f t="shared" si="5"/>
        <v>7685.335360000001</v>
      </c>
      <c r="G31" s="138">
        <f t="shared" si="5"/>
        <v>7803.868896000001</v>
      </c>
      <c r="H31" s="138">
        <f t="shared" si="5"/>
        <v>7934.2557856</v>
      </c>
      <c r="I31" s="138">
        <f t="shared" si="5"/>
        <v>8077.681364160001</v>
      </c>
      <c r="J31" s="138">
        <f t="shared" si="5"/>
        <v>8235.449500576002</v>
      </c>
      <c r="K31" s="138">
        <f t="shared" si="5"/>
        <v>8408.994450633601</v>
      </c>
      <c r="L31" s="138">
        <f t="shared" si="5"/>
        <v>8599.893895696961</v>
      </c>
      <c r="M31" s="138">
        <f t="shared" si="5"/>
        <v>8809.883285266658</v>
      </c>
      <c r="N31" s="57">
        <f t="shared" si="3"/>
        <v>95312.71613793322</v>
      </c>
    </row>
    <row r="32" spans="1:14" ht="15">
      <c r="A32" s="133" t="s">
        <v>59</v>
      </c>
      <c r="B32" s="138">
        <f aca="true" t="shared" si="6" ref="B32:M32">3400+1*(B4/2)</f>
        <v>3400.5</v>
      </c>
      <c r="C32" s="138">
        <f t="shared" si="6"/>
        <v>3400.5</v>
      </c>
      <c r="D32" s="138">
        <f t="shared" si="6"/>
        <v>3400.5</v>
      </c>
      <c r="E32" s="138">
        <f t="shared" si="6"/>
        <v>3400.5</v>
      </c>
      <c r="F32" s="138">
        <f t="shared" si="6"/>
        <v>3400.5</v>
      </c>
      <c r="G32" s="138">
        <f t="shared" si="6"/>
        <v>3400.5</v>
      </c>
      <c r="H32" s="138">
        <f t="shared" si="6"/>
        <v>3400.5</v>
      </c>
      <c r="I32" s="138">
        <f t="shared" si="6"/>
        <v>3400.5</v>
      </c>
      <c r="J32" s="138">
        <f t="shared" si="6"/>
        <v>3400.5</v>
      </c>
      <c r="K32" s="138">
        <f t="shared" si="6"/>
        <v>3400.5</v>
      </c>
      <c r="L32" s="138">
        <f t="shared" si="6"/>
        <v>3400.5</v>
      </c>
      <c r="M32" s="138">
        <f t="shared" si="6"/>
        <v>3400.5</v>
      </c>
      <c r="N32" s="31">
        <f>SUM(B32:M32)</f>
        <v>40806</v>
      </c>
    </row>
    <row r="33" spans="1:14" ht="15.75" thickBot="1">
      <c r="A33" s="133" t="s">
        <v>58</v>
      </c>
      <c r="B33" s="138">
        <f aca="true" t="shared" si="7" ref="B33:M33">3400+1*(B5/2)</f>
        <v>3804.8</v>
      </c>
      <c r="C33" s="138">
        <f t="shared" si="7"/>
        <v>3845.28</v>
      </c>
      <c r="D33" s="138">
        <f t="shared" si="7"/>
        <v>3889.808</v>
      </c>
      <c r="E33" s="138">
        <f t="shared" si="7"/>
        <v>3938.7888000000003</v>
      </c>
      <c r="F33" s="138">
        <f t="shared" si="7"/>
        <v>3992.6676800000005</v>
      </c>
      <c r="G33" s="138">
        <f t="shared" si="7"/>
        <v>4051.9344480000004</v>
      </c>
      <c r="H33" s="138">
        <f t="shared" si="7"/>
        <v>4117.1278928</v>
      </c>
      <c r="I33" s="138">
        <f t="shared" si="7"/>
        <v>4188.840682080001</v>
      </c>
      <c r="J33" s="138">
        <f t="shared" si="7"/>
        <v>4267.724750288001</v>
      </c>
      <c r="K33" s="138">
        <f t="shared" si="7"/>
        <v>4354.497225316801</v>
      </c>
      <c r="L33" s="138">
        <f t="shared" si="7"/>
        <v>4449.946947848481</v>
      </c>
      <c r="M33" s="138">
        <f t="shared" si="7"/>
        <v>4554.941642633329</v>
      </c>
      <c r="N33" s="34">
        <f>SUM(B33:M33)</f>
        <v>49456.35806896661</v>
      </c>
    </row>
    <row r="34" spans="1:14" ht="15.75" thickBot="1">
      <c r="A34" s="134" t="s">
        <v>94</v>
      </c>
      <c r="B34" s="22">
        <f aca="true" t="shared" si="8" ref="B34:M34">B7-SUM(B9:B33)</f>
        <v>-61590.341999999975</v>
      </c>
      <c r="C34" s="22">
        <f t="shared" si="8"/>
        <v>-56854.18200000003</v>
      </c>
      <c r="D34" s="22">
        <f t="shared" si="8"/>
        <v>-51644.40599999999</v>
      </c>
      <c r="E34" s="22">
        <f t="shared" si="8"/>
        <v>-45913.65239999999</v>
      </c>
      <c r="F34" s="22">
        <f t="shared" si="8"/>
        <v>-39609.82344000001</v>
      </c>
      <c r="G34" s="22">
        <f t="shared" si="8"/>
        <v>-41600.61158399991</v>
      </c>
      <c r="H34" s="22">
        <f t="shared" si="8"/>
        <v>-33972.97854239994</v>
      </c>
      <c r="I34" s="22">
        <f t="shared" si="8"/>
        <v>-25582.58219663991</v>
      </c>
      <c r="J34" s="22">
        <f t="shared" si="8"/>
        <v>-216353.14621630393</v>
      </c>
      <c r="K34" s="22">
        <f t="shared" si="8"/>
        <v>-37125.76663793431</v>
      </c>
      <c r="L34" s="22">
        <f t="shared" si="8"/>
        <v>-25958.1491017277</v>
      </c>
      <c r="M34" s="22">
        <f t="shared" si="8"/>
        <v>-13673.769811900449</v>
      </c>
      <c r="N34" s="23">
        <f>SUM(B34:M34)</f>
        <v>-649879.4099309061</v>
      </c>
    </row>
    <row r="37" spans="1:14" ht="15">
      <c r="A37" s="173" t="s">
        <v>213</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3" spans="1:14" ht="15">
      <c r="A43" s="173"/>
      <c r="B43" s="173"/>
      <c r="C43" s="173"/>
      <c r="D43" s="173"/>
      <c r="E43" s="173"/>
      <c r="F43" s="173"/>
      <c r="G43" s="173"/>
      <c r="H43" s="173"/>
      <c r="I43" s="173"/>
      <c r="J43" s="173"/>
      <c r="K43" s="173"/>
      <c r="L43" s="173"/>
      <c r="M43" s="173"/>
      <c r="N43" s="173"/>
    </row>
    <row r="45" spans="2:7" ht="15">
      <c r="B45" s="174" t="s">
        <v>208</v>
      </c>
      <c r="C45" s="174"/>
      <c r="D45" s="174"/>
      <c r="E45" s="174"/>
      <c r="F45" s="174"/>
      <c r="G45" s="174"/>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8" r:id="rId1"/>
  <headerFooter>
    <oddHeader>&amp;C&amp;"-,Bold"&amp;36&amp;UProject Victories Project Selection Tool</oddHeader>
    <oddFooter>&amp;CCopyright The Volpe Consortium, Inc.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47"/>
  <sheetViews>
    <sheetView view="pageLayout" workbookViewId="0" topLeftCell="A16">
      <selection activeCell="A2" sqref="A2"/>
    </sheetView>
  </sheetViews>
  <sheetFormatPr defaultColWidth="9.140625" defaultRowHeight="15"/>
  <cols>
    <col min="1" max="1" width="28.140625" style="0" customWidth="1"/>
    <col min="2" max="2" width="14.28125" style="0" bestFit="1" customWidth="1"/>
    <col min="3" max="3" width="15.00390625" style="0" bestFit="1" customWidth="1"/>
    <col min="4" max="4" width="14.281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62"/>
      <c r="B1" s="100" t="s">
        <v>15</v>
      </c>
      <c r="C1" s="100" t="s">
        <v>35</v>
      </c>
      <c r="D1" s="100" t="s">
        <v>54</v>
      </c>
      <c r="E1" s="114"/>
      <c r="F1" s="114"/>
      <c r="G1" s="114"/>
      <c r="H1" s="115"/>
      <c r="K1" s="149"/>
      <c r="L1" s="149"/>
      <c r="M1" s="149"/>
      <c r="N1" s="149"/>
      <c r="O1" s="149"/>
      <c r="P1" s="149"/>
      <c r="Q1" s="149"/>
      <c r="R1" s="171"/>
    </row>
    <row r="2" spans="1:18" ht="18.75">
      <c r="A2" s="132" t="s">
        <v>201</v>
      </c>
      <c r="B2" s="135">
        <f>Calcs!E22</f>
        <v>11.504463131543012</v>
      </c>
      <c r="C2" s="135">
        <f>Calcs!F22</f>
        <v>4.995536868456988</v>
      </c>
      <c r="D2" s="111">
        <f>B2+C2</f>
        <v>16.5</v>
      </c>
      <c r="E2" s="73"/>
      <c r="F2" s="73"/>
      <c r="G2" s="73"/>
      <c r="H2" s="74"/>
      <c r="K2" s="149"/>
      <c r="L2" s="149"/>
      <c r="M2" s="149"/>
      <c r="N2" s="149"/>
      <c r="O2" s="149"/>
      <c r="P2" s="149"/>
      <c r="Q2" s="149"/>
      <c r="R2" s="150"/>
    </row>
    <row r="3" spans="1:18" ht="15">
      <c r="A3" s="132" t="s">
        <v>202</v>
      </c>
      <c r="B3" s="135">
        <f>Calcs!E23</f>
        <v>138</v>
      </c>
      <c r="C3" s="135">
        <f>Calcs!F23</f>
        <v>60</v>
      </c>
      <c r="D3" s="111">
        <f>SUM(B3:C3)</f>
        <v>198</v>
      </c>
      <c r="E3" s="73"/>
      <c r="F3" s="73"/>
      <c r="G3" s="73"/>
      <c r="H3" s="74"/>
      <c r="K3" s="151"/>
      <c r="L3" s="152"/>
      <c r="M3" s="152"/>
      <c r="N3" s="152"/>
      <c r="O3" s="152"/>
      <c r="P3" s="152"/>
      <c r="Q3" s="152"/>
      <c r="R3" s="152"/>
    </row>
    <row r="4" spans="1:18" ht="15">
      <c r="A4" s="132" t="s">
        <v>203</v>
      </c>
      <c r="B4" s="160">
        <v>1</v>
      </c>
      <c r="C4" s="160">
        <v>1</v>
      </c>
      <c r="D4" s="160">
        <v>4</v>
      </c>
      <c r="E4" s="160">
        <v>6</v>
      </c>
      <c r="F4" s="160">
        <v>10</v>
      </c>
      <c r="G4" s="160">
        <v>12</v>
      </c>
      <c r="H4" s="161"/>
      <c r="K4" s="130"/>
      <c r="L4" s="131"/>
      <c r="M4" s="131"/>
      <c r="N4" s="131"/>
      <c r="O4" s="131"/>
      <c r="P4" s="131"/>
      <c r="Q4" s="131"/>
      <c r="R4" s="131"/>
    </row>
    <row r="5" spans="1:18" ht="15">
      <c r="A5" s="132" t="s">
        <v>204</v>
      </c>
      <c r="B5" s="158">
        <f>'FY 0 Best'!N5</f>
        <v>0</v>
      </c>
      <c r="C5" s="158">
        <f>'FY 1 Best'!N5</f>
        <v>9243.588899999999</v>
      </c>
      <c r="D5" s="158">
        <f>'FY 2 Best'!N5</f>
        <v>45420.0730945816</v>
      </c>
      <c r="E5" s="158">
        <f>'FY 3 Best'!N5</f>
        <v>101280.68363815409</v>
      </c>
      <c r="F5" s="158">
        <f>'FY 4 Best'!N5</f>
        <v>181885.55641542506</v>
      </c>
      <c r="G5" s="158">
        <f>'FY 5 Best'!N5</f>
        <v>285691.6624287726</v>
      </c>
      <c r="H5" s="159">
        <f>SUM(B5:G5)</f>
        <v>623521.5644769333</v>
      </c>
      <c r="K5" s="129"/>
      <c r="L5" s="129"/>
      <c r="M5" s="129"/>
      <c r="N5" s="129"/>
      <c r="O5" s="129"/>
      <c r="P5" s="129"/>
      <c r="Q5" s="129"/>
      <c r="R5" s="128"/>
    </row>
    <row r="6" spans="1:18" ht="15">
      <c r="A6" s="132" t="s">
        <v>68</v>
      </c>
      <c r="B6" s="137" t="s">
        <v>75</v>
      </c>
      <c r="C6" s="137" t="s">
        <v>69</v>
      </c>
      <c r="D6" s="137" t="s">
        <v>73</v>
      </c>
      <c r="E6" s="137" t="s">
        <v>74</v>
      </c>
      <c r="F6" s="137" t="s">
        <v>76</v>
      </c>
      <c r="G6" s="137" t="s">
        <v>77</v>
      </c>
      <c r="H6" s="157" t="s">
        <v>200</v>
      </c>
      <c r="K6" s="130"/>
      <c r="L6" s="131"/>
      <c r="M6" s="131"/>
      <c r="N6" s="131"/>
      <c r="O6" s="131"/>
      <c r="P6" s="131"/>
      <c r="Q6" s="131"/>
      <c r="R6" s="131"/>
    </row>
    <row r="7" spans="1:18" ht="15">
      <c r="A7" s="132" t="s">
        <v>55</v>
      </c>
      <c r="B7" s="30">
        <f>'FY 0 Best'!N7</f>
        <v>0</v>
      </c>
      <c r="C7" s="30">
        <f>'FY 1 Best'!N7</f>
        <v>1830230.6021999996</v>
      </c>
      <c r="D7" s="30">
        <f>'FY 2 Best'!N7</f>
        <v>8993174.472727157</v>
      </c>
      <c r="E7" s="30">
        <f>'FY 3 Best'!N7</f>
        <v>20053575.36035451</v>
      </c>
      <c r="F7" s="30">
        <f>'FY 4 Best'!N7</f>
        <v>36013340.17025416</v>
      </c>
      <c r="G7" s="30">
        <f>'FY 5 Best'!N7</f>
        <v>56566949.16089698</v>
      </c>
      <c r="H7" s="60">
        <f aca="true" t="shared" si="0" ref="H7:H34">SUM(B7:G7)</f>
        <v>123457269.7664328</v>
      </c>
      <c r="K7" s="130"/>
      <c r="L7" s="131"/>
      <c r="M7" s="131"/>
      <c r="N7" s="131"/>
      <c r="O7" s="131"/>
      <c r="P7" s="131"/>
      <c r="Q7" s="131"/>
      <c r="R7" s="152"/>
    </row>
    <row r="8" spans="1:18" ht="15">
      <c r="A8" s="156"/>
      <c r="B8" s="35"/>
      <c r="C8" s="35"/>
      <c r="D8" s="35"/>
      <c r="E8" s="35"/>
      <c r="F8" s="35"/>
      <c r="G8" s="35"/>
      <c r="H8" s="123"/>
      <c r="K8" s="130"/>
      <c r="L8" s="131"/>
      <c r="M8" s="131"/>
      <c r="N8" s="131"/>
      <c r="O8" s="131"/>
      <c r="P8" s="131"/>
      <c r="Q8" s="131"/>
      <c r="R8" s="131"/>
    </row>
    <row r="9" spans="1:18" ht="15">
      <c r="A9" s="132" t="s">
        <v>56</v>
      </c>
      <c r="B9" s="30">
        <f>'FY 0 Best'!N9</f>
        <v>0</v>
      </c>
      <c r="C9" s="30">
        <f>'FY 1 Best'!N9</f>
        <v>1275615.2682</v>
      </c>
      <c r="D9" s="30">
        <f>'FY 2 Best'!N9</f>
        <v>6267970.087052261</v>
      </c>
      <c r="E9" s="30">
        <f>'FY 3 Best'!N9</f>
        <v>13976734.342065265</v>
      </c>
      <c r="F9" s="30">
        <f>'FY 4 Best'!N9</f>
        <v>25100206.785328664</v>
      </c>
      <c r="G9" s="30">
        <f>'FY 5 Best'!N9</f>
        <v>39425449.41517062</v>
      </c>
      <c r="H9" s="60">
        <f t="shared" si="0"/>
        <v>86045975.8978168</v>
      </c>
      <c r="K9" s="130"/>
      <c r="L9" s="131"/>
      <c r="M9" s="131"/>
      <c r="N9" s="131"/>
      <c r="O9" s="131"/>
      <c r="P9" s="131"/>
      <c r="Q9" s="131"/>
      <c r="R9" s="131"/>
    </row>
    <row r="10" spans="1:18" ht="15">
      <c r="A10" s="132" t="s">
        <v>199</v>
      </c>
      <c r="B10" s="30">
        <f>'FY 0 Best'!N10</f>
        <v>25000</v>
      </c>
      <c r="C10" s="30">
        <f>'FY 1 Best'!N10</f>
        <v>0</v>
      </c>
      <c r="D10" s="30">
        <f>'FY 2 Best'!N10</f>
        <v>0</v>
      </c>
      <c r="E10" s="30">
        <f>'FY 3 Best'!N10</f>
        <v>0</v>
      </c>
      <c r="F10" s="30">
        <f>'FY 4 Best'!N10</f>
        <v>0</v>
      </c>
      <c r="G10" s="30">
        <f>'FY 5 Best'!N10</f>
        <v>0</v>
      </c>
      <c r="H10" s="60">
        <f t="shared" si="0"/>
        <v>25000</v>
      </c>
      <c r="K10" s="130"/>
      <c r="L10" s="153"/>
      <c r="M10" s="153"/>
      <c r="N10" s="153"/>
      <c r="O10" s="153"/>
      <c r="P10" s="153"/>
      <c r="Q10" s="153"/>
      <c r="R10" s="153"/>
    </row>
    <row r="11" spans="1:18" ht="15">
      <c r="A11" s="132" t="s">
        <v>188</v>
      </c>
      <c r="B11" s="30">
        <f>'FY 0 Best'!N11</f>
        <v>200000</v>
      </c>
      <c r="C11" s="30">
        <f>'FY 1 Best'!N11</f>
        <v>200000</v>
      </c>
      <c r="D11" s="30">
        <f>'FY 2 Best'!N11</f>
        <v>400000</v>
      </c>
      <c r="E11" s="30">
        <f>'FY 3 Best'!N11</f>
        <v>400000</v>
      </c>
      <c r="F11" s="30">
        <f>'FY 4 Best'!N11</f>
        <v>800000</v>
      </c>
      <c r="G11" s="30">
        <f>'FY 5 Best'!N11</f>
        <v>400000</v>
      </c>
      <c r="H11" s="60">
        <f t="shared" si="0"/>
        <v>2400000</v>
      </c>
      <c r="K11" s="130"/>
      <c r="L11" s="101"/>
      <c r="M11" s="101"/>
      <c r="N11" s="101"/>
      <c r="O11" s="101"/>
      <c r="P11" s="101"/>
      <c r="Q11" s="101"/>
      <c r="R11" s="101"/>
    </row>
    <row r="12" spans="1:18" ht="15">
      <c r="A12" s="132" t="s">
        <v>196</v>
      </c>
      <c r="B12" s="30">
        <f>'FY 0 Best'!N12</f>
        <v>0</v>
      </c>
      <c r="C12" s="30">
        <f>'FY 1 Best'!N12</f>
        <v>0</v>
      </c>
      <c r="D12" s="30">
        <f>'FY 2 Best'!N12</f>
        <v>0</v>
      </c>
      <c r="E12" s="30">
        <f>'FY 3 Best'!N12</f>
        <v>0</v>
      </c>
      <c r="F12" s="30">
        <f>'FY 4 Best'!N12</f>
        <v>0</v>
      </c>
      <c r="G12" s="30">
        <f>'FY 5 Best'!N12</f>
        <v>0</v>
      </c>
      <c r="H12" s="60">
        <f t="shared" si="0"/>
        <v>0</v>
      </c>
      <c r="K12" s="130"/>
      <c r="L12" s="101"/>
      <c r="M12" s="101"/>
      <c r="N12" s="101"/>
      <c r="O12" s="101"/>
      <c r="P12" s="101"/>
      <c r="Q12" s="101"/>
      <c r="R12" s="101"/>
    </row>
    <row r="13" spans="1:18" ht="15">
      <c r="A13" s="132" t="s">
        <v>47</v>
      </c>
      <c r="B13" s="30">
        <f>'FY 0 Best'!N13</f>
        <v>36000</v>
      </c>
      <c r="C13" s="30">
        <f>'FY 1 Best'!N13</f>
        <v>58000</v>
      </c>
      <c r="D13" s="30">
        <f>'FY 2 Best'!N13</f>
        <v>300000</v>
      </c>
      <c r="E13" s="30">
        <f>'FY 3 Best'!N13</f>
        <v>300000</v>
      </c>
      <c r="F13" s="30">
        <f>'FY 4 Best'!N13</f>
        <v>300000</v>
      </c>
      <c r="G13" s="30">
        <f>'FY 5 Best'!N13</f>
        <v>300000</v>
      </c>
      <c r="H13" s="60">
        <f t="shared" si="0"/>
        <v>1294000</v>
      </c>
      <c r="K13" s="130"/>
      <c r="L13" s="101"/>
      <c r="M13" s="101"/>
      <c r="N13" s="101"/>
      <c r="O13" s="101"/>
      <c r="P13" s="101"/>
      <c r="Q13" s="101"/>
      <c r="R13" s="101"/>
    </row>
    <row r="14" spans="1:18" ht="15">
      <c r="A14" s="132" t="s">
        <v>205</v>
      </c>
      <c r="B14" s="30">
        <f>'FY 0 Best'!N14</f>
        <v>0</v>
      </c>
      <c r="C14" s="30">
        <f>'FY 1 Best'!N14</f>
        <v>10000</v>
      </c>
      <c r="D14" s="30">
        <f>'FY 2 Best'!N14</f>
        <v>0</v>
      </c>
      <c r="E14" s="30">
        <f>'FY 3 Best'!N14</f>
        <v>0</v>
      </c>
      <c r="F14" s="30">
        <f>'FY 4 Best'!N14</f>
        <v>0</v>
      </c>
      <c r="G14" s="30">
        <f>'FY 5 Best'!N14</f>
        <v>0</v>
      </c>
      <c r="H14" s="60">
        <f t="shared" si="0"/>
        <v>10000</v>
      </c>
      <c r="K14" s="130"/>
      <c r="L14" s="101"/>
      <c r="M14" s="101"/>
      <c r="N14" s="101"/>
      <c r="O14" s="101"/>
      <c r="P14" s="101"/>
      <c r="Q14" s="101"/>
      <c r="R14" s="101"/>
    </row>
    <row r="15" spans="1:18" ht="15">
      <c r="A15" s="132" t="s">
        <v>189</v>
      </c>
      <c r="B15" s="30">
        <f>'FY 0 Best'!N15</f>
        <v>0</v>
      </c>
      <c r="C15" s="30">
        <f>'FY 1 Best'!N15</f>
        <v>45250</v>
      </c>
      <c r="D15" s="30">
        <f>'FY 2 Best'!N15</f>
        <v>113125</v>
      </c>
      <c r="E15" s="30">
        <f>'FY 3 Best'!N15</f>
        <v>217200</v>
      </c>
      <c r="F15" s="30">
        <f>'FY 4 Best'!N15</f>
        <v>371050</v>
      </c>
      <c r="G15" s="30">
        <f>'FY 5 Best'!N15</f>
        <v>565625</v>
      </c>
      <c r="H15" s="60">
        <f t="shared" si="0"/>
        <v>1312250</v>
      </c>
      <c r="K15" s="130"/>
      <c r="L15" s="101"/>
      <c r="M15" s="101"/>
      <c r="N15" s="101"/>
      <c r="O15" s="101"/>
      <c r="P15" s="101"/>
      <c r="Q15" s="101"/>
      <c r="R15" s="101"/>
    </row>
    <row r="16" spans="1:18" ht="15">
      <c r="A16" s="132" t="s">
        <v>190</v>
      </c>
      <c r="B16" s="30">
        <f>'FY 0 Best'!N16</f>
        <v>0</v>
      </c>
      <c r="C16" s="30">
        <f>'FY 1 Best'!N16</f>
        <v>27150</v>
      </c>
      <c r="D16" s="30">
        <f>'FY 2 Best'!N16</f>
        <v>99550</v>
      </c>
      <c r="E16" s="30">
        <f>'FY 3 Best'!N16</f>
        <v>203625</v>
      </c>
      <c r="F16" s="30">
        <f>'FY 4 Best'!N16</f>
        <v>352950</v>
      </c>
      <c r="G16" s="30">
        <f>'FY 5 Best'!N16</f>
        <v>556575</v>
      </c>
      <c r="H16" s="60">
        <f t="shared" si="0"/>
        <v>1239850</v>
      </c>
      <c r="K16" s="154"/>
      <c r="L16" s="155"/>
      <c r="M16" s="155"/>
      <c r="N16" s="155"/>
      <c r="O16" s="155"/>
      <c r="P16" s="155"/>
      <c r="Q16" s="155"/>
      <c r="R16" s="155"/>
    </row>
    <row r="17" spans="1:8" ht="15">
      <c r="A17" s="132" t="s">
        <v>191</v>
      </c>
      <c r="B17" s="30">
        <f>'FY 0 Best'!N17</f>
        <v>0</v>
      </c>
      <c r="C17" s="30">
        <f>'FY 1 Best'!N17</f>
        <v>18100</v>
      </c>
      <c r="D17" s="30">
        <f>'FY 2 Best'!N17</f>
        <v>85975</v>
      </c>
      <c r="E17" s="30">
        <f>'FY 3 Best'!N17</f>
        <v>194575</v>
      </c>
      <c r="F17" s="30">
        <f>'FY 4 Best'!N17</f>
        <v>343900</v>
      </c>
      <c r="G17" s="30">
        <f>'FY 5 Best'!N17</f>
        <v>538475</v>
      </c>
      <c r="H17" s="60">
        <f t="shared" si="0"/>
        <v>1181025</v>
      </c>
    </row>
    <row r="18" spans="1:8" ht="15">
      <c r="A18" s="132" t="s">
        <v>192</v>
      </c>
      <c r="B18" s="30">
        <f>'FY 0 Best'!N18</f>
        <v>0</v>
      </c>
      <c r="C18" s="30">
        <f>'FY 1 Best'!N18</f>
        <v>4525</v>
      </c>
      <c r="D18" s="30">
        <f>'FY 2 Best'!N18</f>
        <v>72400</v>
      </c>
      <c r="E18" s="30">
        <f>'FY 3 Best'!N18</f>
        <v>181000</v>
      </c>
      <c r="F18" s="30">
        <f>'FY 4 Best'!N18</f>
        <v>334850</v>
      </c>
      <c r="G18" s="30">
        <f>'FY 5 Best'!N18</f>
        <v>520375</v>
      </c>
      <c r="H18" s="60">
        <f t="shared" si="0"/>
        <v>1113150</v>
      </c>
    </row>
    <row r="19" spans="1:8" ht="15">
      <c r="A19" s="132" t="s">
        <v>194</v>
      </c>
      <c r="B19" s="30">
        <f>'FY 0 Best'!N19</f>
        <v>0</v>
      </c>
      <c r="C19" s="30">
        <f>'FY 1 Best'!N19</f>
        <v>70400</v>
      </c>
      <c r="D19" s="30">
        <f>'FY 2 Best'!N19</f>
        <v>105600</v>
      </c>
      <c r="E19" s="30">
        <f>'FY 3 Best'!N19</f>
        <v>105600</v>
      </c>
      <c r="F19" s="30">
        <f>'FY 4 Best'!N19</f>
        <v>105600</v>
      </c>
      <c r="G19" s="30">
        <f>'FY 5 Best'!N19</f>
        <v>105600</v>
      </c>
      <c r="H19" s="60">
        <f t="shared" si="0"/>
        <v>492800</v>
      </c>
    </row>
    <row r="20" spans="1:8" ht="15">
      <c r="A20" s="132" t="s">
        <v>193</v>
      </c>
      <c r="B20" s="30">
        <f>'FY 0 Best'!N20</f>
        <v>0</v>
      </c>
      <c r="C20" s="30">
        <f>'FY 1 Best'!N20</f>
        <v>22000</v>
      </c>
      <c r="D20" s="30">
        <f>'FY 2 Best'!N20</f>
        <v>105600</v>
      </c>
      <c r="E20" s="30">
        <f>'FY 3 Best'!N20</f>
        <v>105600</v>
      </c>
      <c r="F20" s="30">
        <f>'FY 4 Best'!N20</f>
        <v>105600</v>
      </c>
      <c r="G20" s="30">
        <f>'FY 5 Best'!N20</f>
        <v>105600</v>
      </c>
      <c r="H20" s="60">
        <f t="shared" si="0"/>
        <v>444400</v>
      </c>
    </row>
    <row r="21" spans="1:8" ht="15">
      <c r="A21" s="132" t="s">
        <v>206</v>
      </c>
      <c r="B21" s="30">
        <f>'FY 0 Best'!N21</f>
        <v>132000</v>
      </c>
      <c r="C21" s="30">
        <f>'FY 1 Best'!N21</f>
        <v>132000</v>
      </c>
      <c r="D21" s="30">
        <f>'FY 2 Best'!N21</f>
        <v>132000</v>
      </c>
      <c r="E21" s="30">
        <f>'FY 3 Best'!N21</f>
        <v>132000</v>
      </c>
      <c r="F21" s="30">
        <f>'FY 4 Best'!N21</f>
        <v>132000</v>
      </c>
      <c r="G21" s="30">
        <f>'FY 5 Best'!N21</f>
        <v>132000</v>
      </c>
      <c r="H21" s="60">
        <f t="shared" si="0"/>
        <v>792000</v>
      </c>
    </row>
    <row r="22" spans="1:8" ht="15">
      <c r="A22" s="132" t="s">
        <v>67</v>
      </c>
      <c r="B22" s="30">
        <f>'FY 0 Best'!N22</f>
        <v>33000</v>
      </c>
      <c r="C22" s="30">
        <f>'FY 1 Best'!N22</f>
        <v>123750</v>
      </c>
      <c r="D22" s="30">
        <f>'FY 2 Best'!N22</f>
        <v>132000</v>
      </c>
      <c r="E22" s="30">
        <f>'FY 3 Best'!N22</f>
        <v>132000</v>
      </c>
      <c r="F22" s="30">
        <f>'FY 4 Best'!N22</f>
        <v>132000</v>
      </c>
      <c r="G22" s="30">
        <f>'FY 5 Best'!N22</f>
        <v>132000</v>
      </c>
      <c r="H22" s="60">
        <f t="shared" si="0"/>
        <v>684750</v>
      </c>
    </row>
    <row r="23" spans="1:8" ht="15">
      <c r="A23" s="132" t="s">
        <v>43</v>
      </c>
      <c r="B23" s="30">
        <f>'FY 0 Best'!N23</f>
        <v>0</v>
      </c>
      <c r="C23" s="30">
        <f>'FY 1 Best'!N23</f>
        <v>0</v>
      </c>
      <c r="D23" s="30">
        <f>'FY 2 Best'!N23</f>
        <v>120000</v>
      </c>
      <c r="E23" s="30">
        <f>'FY 3 Best'!N23</f>
        <v>120000</v>
      </c>
      <c r="F23" s="30">
        <f>'FY 4 Best'!N23</f>
        <v>120000</v>
      </c>
      <c r="G23" s="30">
        <f>'FY 5 Best'!N23</f>
        <v>120000</v>
      </c>
      <c r="H23" s="60">
        <f t="shared" si="0"/>
        <v>480000</v>
      </c>
    </row>
    <row r="24" spans="1:8" ht="15">
      <c r="A24" s="132" t="s">
        <v>62</v>
      </c>
      <c r="B24" s="30">
        <f>'FY 0 Best'!N24</f>
        <v>0</v>
      </c>
      <c r="C24" s="30">
        <f>'FY 1 Best'!N24</f>
        <v>25000</v>
      </c>
      <c r="D24" s="30">
        <f>'FY 2 Best'!N24</f>
        <v>30000</v>
      </c>
      <c r="E24" s="30">
        <f>'FY 3 Best'!N24</f>
        <v>30000</v>
      </c>
      <c r="F24" s="30">
        <f>'FY 4 Best'!N24</f>
        <v>30000</v>
      </c>
      <c r="G24" s="30">
        <f>'FY 5 Best'!N24</f>
        <v>30000</v>
      </c>
      <c r="H24" s="60">
        <f t="shared" si="0"/>
        <v>145000</v>
      </c>
    </row>
    <row r="25" spans="1:8" ht="15">
      <c r="A25" s="132" t="s">
        <v>96</v>
      </c>
      <c r="B25" s="30">
        <f>'FY 0 Best'!N25</f>
        <v>42000</v>
      </c>
      <c r="C25" s="30">
        <f>'FY 1 Best'!N25</f>
        <v>207000</v>
      </c>
      <c r="D25" s="30">
        <f>'FY 2 Best'!N25</f>
        <v>240000</v>
      </c>
      <c r="E25" s="30">
        <f>'FY 3 Best'!N25</f>
        <v>480000</v>
      </c>
      <c r="F25" s="30">
        <f>'FY 4 Best'!N25</f>
        <v>480000</v>
      </c>
      <c r="G25" s="30">
        <f>'FY 5 Best'!N25</f>
        <v>480000</v>
      </c>
      <c r="H25" s="60">
        <f t="shared" si="0"/>
        <v>1929000</v>
      </c>
    </row>
    <row r="26" spans="1:8" ht="15">
      <c r="A26" s="132" t="s">
        <v>45</v>
      </c>
      <c r="B26" s="30">
        <f>'FY 0 Best'!N26</f>
        <v>6000</v>
      </c>
      <c r="C26" s="30">
        <f>'FY 1 Best'!N26</f>
        <v>32000</v>
      </c>
      <c r="D26" s="30">
        <f>'FY 2 Best'!N26</f>
        <v>72000</v>
      </c>
      <c r="E26" s="30">
        <f>'FY 3 Best'!N26</f>
        <v>72000</v>
      </c>
      <c r="F26" s="30">
        <f>'FY 4 Best'!N26</f>
        <v>72000</v>
      </c>
      <c r="G26" s="30">
        <f>'FY 5 Best'!N26</f>
        <v>72000</v>
      </c>
      <c r="H26" s="60">
        <f t="shared" si="0"/>
        <v>326000</v>
      </c>
    </row>
    <row r="27" spans="1:8" ht="15">
      <c r="A27" s="132" t="s">
        <v>46</v>
      </c>
      <c r="B27" s="30">
        <f>'FY 0 Best'!N27</f>
        <v>3000</v>
      </c>
      <c r="C27" s="30">
        <f>'FY 1 Best'!N27</f>
        <v>11209.978</v>
      </c>
      <c r="D27" s="30">
        <f>'FY 2 Best'!N27</f>
        <v>15361.050000000003</v>
      </c>
      <c r="E27" s="30">
        <f>'FY 3 Best'!N27</f>
        <v>18453.215999999997</v>
      </c>
      <c r="F27" s="30">
        <f>'FY 4 Best'!N27</f>
        <v>23158.686</v>
      </c>
      <c r="G27" s="30">
        <f>'FY 5 Best'!N27</f>
        <v>28805.250000000004</v>
      </c>
      <c r="H27" s="60">
        <f t="shared" si="0"/>
        <v>99988.18</v>
      </c>
    </row>
    <row r="28" spans="1:8" ht="15">
      <c r="A28" s="132" t="s">
        <v>48</v>
      </c>
      <c r="B28" s="30">
        <f>'FY 0 Best'!N28</f>
        <v>18000</v>
      </c>
      <c r="C28" s="30">
        <f>'FY 1 Best'!N28</f>
        <v>103000</v>
      </c>
      <c r="D28" s="30">
        <f>'FY 2 Best'!N28</f>
        <v>120000</v>
      </c>
      <c r="E28" s="30">
        <f>'FY 3 Best'!N28</f>
        <v>120000</v>
      </c>
      <c r="F28" s="30">
        <f>'FY 4 Best'!N28</f>
        <v>120000</v>
      </c>
      <c r="G28" s="30">
        <f>'FY 5 Best'!N28</f>
        <v>120000</v>
      </c>
      <c r="H28" s="60">
        <f t="shared" si="0"/>
        <v>601000</v>
      </c>
    </row>
    <row r="29" spans="1:8" ht="15">
      <c r="A29" s="132" t="s">
        <v>50</v>
      </c>
      <c r="B29" s="30">
        <f>'FY 0 Best'!N29</f>
        <v>0</v>
      </c>
      <c r="C29" s="30">
        <f>'FY 1 Best'!N29</f>
        <v>13500</v>
      </c>
      <c r="D29" s="30">
        <f>'FY 2 Best'!N29</f>
        <v>18000</v>
      </c>
      <c r="E29" s="30">
        <f>'FY 3 Best'!N29</f>
        <v>18000</v>
      </c>
      <c r="F29" s="30">
        <f>'FY 4 Best'!N29</f>
        <v>18000</v>
      </c>
      <c r="G29" s="30">
        <f>'FY 5 Best'!N29</f>
        <v>18000</v>
      </c>
      <c r="H29" s="60">
        <f t="shared" si="0"/>
        <v>85500</v>
      </c>
    </row>
    <row r="30" spans="1:8" ht="15">
      <c r="A30" s="132" t="s">
        <v>195</v>
      </c>
      <c r="B30" s="30">
        <f>'FY 0 Best'!N30</f>
        <v>0</v>
      </c>
      <c r="C30" s="30">
        <f>'FY 1 Best'!N30</f>
        <v>20004</v>
      </c>
      <c r="D30" s="30">
        <f>'FY 2 Best'!N30</f>
        <v>20004</v>
      </c>
      <c r="E30" s="30">
        <f>'FY 3 Best'!N30</f>
        <v>20004</v>
      </c>
      <c r="F30" s="30">
        <f>'FY 4 Best'!N30</f>
        <v>20004</v>
      </c>
      <c r="G30" s="30">
        <f>'FY 5 Best'!N30</f>
        <v>20004</v>
      </c>
      <c r="H30" s="60">
        <f>SUM(B30:G30)</f>
        <v>100020</v>
      </c>
    </row>
    <row r="31" spans="1:8" ht="15">
      <c r="A31" s="132" t="s">
        <v>198</v>
      </c>
      <c r="B31" s="30">
        <f>'FY 0 Best'!N31</f>
        <v>0</v>
      </c>
      <c r="C31" s="30">
        <f>'FY 1 Best'!N31</f>
        <v>80743.5889</v>
      </c>
      <c r="D31" s="30">
        <f>'FY 2 Best'!N31</f>
        <v>123420.07309458159</v>
      </c>
      <c r="E31" s="30">
        <f>'FY 3 Best'!N31</f>
        <v>179280.68363815406</v>
      </c>
      <c r="F31" s="30">
        <f>'FY 4 Best'!N31</f>
        <v>208594.68000000005</v>
      </c>
      <c r="G31" s="30">
        <f>'FY 5 Best'!N31</f>
        <v>208594.68000000005</v>
      </c>
      <c r="H31" s="60">
        <f t="shared" si="0"/>
        <v>800633.7056327357</v>
      </c>
    </row>
    <row r="32" spans="1:8" ht="15">
      <c r="A32" s="133" t="s">
        <v>59</v>
      </c>
      <c r="B32" s="30">
        <f>'FY 0 Best'!N32</f>
        <v>0</v>
      </c>
      <c r="C32" s="30">
        <f>'FY 1 Best'!N32</f>
        <v>37404.5</v>
      </c>
      <c r="D32" s="30">
        <f>'FY 2 Best'!N32</f>
        <v>40812.5</v>
      </c>
      <c r="E32" s="30">
        <f>'FY 3 Best'!N32</f>
        <v>40824</v>
      </c>
      <c r="F32" s="30">
        <f>'FY 4 Best'!N32</f>
        <v>131742.77820771252</v>
      </c>
      <c r="G32" s="30">
        <f>'FY 5 Best'!N32</f>
        <v>183645.83121438627</v>
      </c>
      <c r="H32" s="60">
        <f t="shared" si="0"/>
        <v>434429.6094220988</v>
      </c>
    </row>
    <row r="33" spans="1:8" ht="15.75" thickBot="1">
      <c r="A33" s="133" t="s">
        <v>58</v>
      </c>
      <c r="B33" s="30">
        <f>'FY 0 Best'!N33</f>
        <v>0</v>
      </c>
      <c r="C33" s="30">
        <f>'FY 1 Best'!N33</f>
        <v>42021.79445</v>
      </c>
      <c r="D33" s="30">
        <f>'FY 2 Best'!N33</f>
        <v>63510.036547290794</v>
      </c>
      <c r="E33" s="30">
        <f>'FY 3 Best'!N33</f>
        <v>91440.34181907703</v>
      </c>
      <c r="F33" s="30">
        <f>'FY 4 Best'!N33</f>
        <v>66445.43820771253</v>
      </c>
      <c r="G33" s="30">
        <f>'FY 5 Best'!N33</f>
        <v>118348.49121438629</v>
      </c>
      <c r="H33" s="60">
        <f>SUM(B33:G33)</f>
        <v>381766.1022384667</v>
      </c>
    </row>
    <row r="34" spans="1:8" ht="15.75" thickBot="1">
      <c r="A34" s="134" t="s">
        <v>94</v>
      </c>
      <c r="B34" s="33">
        <f>'FY 0 Best'!N34</f>
        <v>-495000</v>
      </c>
      <c r="C34" s="33">
        <f>'FY 1 Best'!N34</f>
        <v>-728443.5273500001</v>
      </c>
      <c r="D34" s="33">
        <f>'FY 2 Best'!N34</f>
        <v>315846.7260330243</v>
      </c>
      <c r="E34" s="33">
        <f>'FY 3 Best'!N34</f>
        <v>2915238.776832016</v>
      </c>
      <c r="F34" s="33">
        <f>'FY 4 Best'!N34</f>
        <v>6645237.802510079</v>
      </c>
      <c r="G34" s="33">
        <f>'FY 5 Best'!N34</f>
        <v>12385851.49329758</v>
      </c>
      <c r="H34" s="124">
        <f t="shared" si="0"/>
        <v>21038731.271322697</v>
      </c>
    </row>
    <row r="37" spans="1:18" ht="15">
      <c r="A37" s="173" t="s">
        <v>215</v>
      </c>
      <c r="B37" s="173"/>
      <c r="C37" s="173"/>
      <c r="D37" s="173"/>
      <c r="E37" s="173"/>
      <c r="F37" s="173"/>
      <c r="G37" s="173"/>
      <c r="H37" s="173"/>
      <c r="I37" s="143"/>
      <c r="J37" s="143"/>
      <c r="K37" s="143"/>
      <c r="L37" s="143"/>
      <c r="M37" s="143"/>
      <c r="N37" s="143"/>
      <c r="O37" s="143"/>
      <c r="P37" s="143"/>
      <c r="Q37" s="143"/>
      <c r="R37" s="143"/>
    </row>
    <row r="38" spans="1:18" ht="15">
      <c r="A38" s="173"/>
      <c r="B38" s="173"/>
      <c r="C38" s="173"/>
      <c r="D38" s="173"/>
      <c r="E38" s="173"/>
      <c r="F38" s="173"/>
      <c r="G38" s="173"/>
      <c r="H38" s="173"/>
      <c r="I38" s="143"/>
      <c r="J38" s="143"/>
      <c r="K38" s="143"/>
      <c r="L38" s="143"/>
      <c r="M38" s="143"/>
      <c r="N38" s="143"/>
      <c r="O38" s="143"/>
      <c r="P38" s="143"/>
      <c r="Q38" s="143"/>
      <c r="R38" s="143"/>
    </row>
    <row r="39" spans="1:18" ht="15">
      <c r="A39" s="173"/>
      <c r="B39" s="173"/>
      <c r="C39" s="173"/>
      <c r="D39" s="173"/>
      <c r="E39" s="173"/>
      <c r="F39" s="173"/>
      <c r="G39" s="173"/>
      <c r="H39" s="173"/>
      <c r="I39" s="143"/>
      <c r="J39" s="143"/>
      <c r="K39" s="143"/>
      <c r="L39" s="143"/>
      <c r="M39" s="143"/>
      <c r="N39" s="143"/>
      <c r="O39" s="143"/>
      <c r="P39" s="143"/>
      <c r="Q39" s="143"/>
      <c r="R39" s="143"/>
    </row>
    <row r="40" spans="1:18" ht="15">
      <c r="A40" s="173"/>
      <c r="B40" s="173"/>
      <c r="C40" s="173"/>
      <c r="D40" s="173"/>
      <c r="E40" s="173"/>
      <c r="F40" s="173"/>
      <c r="G40" s="173"/>
      <c r="H40" s="173"/>
      <c r="I40" s="143"/>
      <c r="J40" s="143"/>
      <c r="K40" s="143"/>
      <c r="L40" s="143"/>
      <c r="M40" s="143"/>
      <c r="N40" s="143"/>
      <c r="O40" s="143"/>
      <c r="P40" s="143"/>
      <c r="Q40" s="143"/>
      <c r="R40" s="143"/>
    </row>
    <row r="41" spans="1:18" ht="15">
      <c r="A41" s="173"/>
      <c r="B41" s="173"/>
      <c r="C41" s="173"/>
      <c r="D41" s="173"/>
      <c r="E41" s="173"/>
      <c r="F41" s="173"/>
      <c r="G41" s="173"/>
      <c r="H41" s="173"/>
      <c r="I41" s="143"/>
      <c r="J41" s="143"/>
      <c r="K41" s="143"/>
      <c r="L41" s="143"/>
      <c r="M41" s="143"/>
      <c r="N41" s="143"/>
      <c r="O41" s="143"/>
      <c r="P41" s="143"/>
      <c r="Q41" s="143"/>
      <c r="R41" s="143"/>
    </row>
    <row r="42" spans="1:18" ht="15">
      <c r="A42" s="173"/>
      <c r="B42" s="173"/>
      <c r="C42" s="173"/>
      <c r="D42" s="173"/>
      <c r="E42" s="173"/>
      <c r="F42" s="173"/>
      <c r="G42" s="173"/>
      <c r="H42" s="173"/>
      <c r="I42" s="143"/>
      <c r="J42" s="143"/>
      <c r="K42" s="143"/>
      <c r="L42" s="143"/>
      <c r="M42" s="143"/>
      <c r="N42" s="143"/>
      <c r="O42" s="143"/>
      <c r="P42" s="143"/>
      <c r="Q42" s="143"/>
      <c r="R42" s="143"/>
    </row>
    <row r="43" spans="1:18" ht="15">
      <c r="A43" s="173"/>
      <c r="B43" s="173"/>
      <c r="C43" s="173"/>
      <c r="D43" s="173"/>
      <c r="E43" s="173"/>
      <c r="F43" s="173"/>
      <c r="G43" s="173"/>
      <c r="H43" s="173"/>
      <c r="I43" s="143"/>
      <c r="J43" s="143"/>
      <c r="K43" s="143"/>
      <c r="L43" s="143"/>
      <c r="M43" s="143"/>
      <c r="N43" s="143"/>
      <c r="O43" s="143"/>
      <c r="P43" s="143"/>
      <c r="Q43" s="143"/>
      <c r="R43" s="143"/>
    </row>
    <row r="44" spans="1:18" ht="15">
      <c r="A44" s="173"/>
      <c r="B44" s="173"/>
      <c r="C44" s="173"/>
      <c r="D44" s="173"/>
      <c r="E44" s="173"/>
      <c r="F44" s="173"/>
      <c r="G44" s="173"/>
      <c r="H44" s="173"/>
      <c r="I44" s="143"/>
      <c r="J44" s="143"/>
      <c r="K44" s="143"/>
      <c r="L44" s="143"/>
      <c r="M44" s="143"/>
      <c r="N44" s="143"/>
      <c r="O44" s="143"/>
      <c r="P44" s="143"/>
      <c r="Q44" s="143"/>
      <c r="R44" s="143"/>
    </row>
    <row r="45" spans="1:18" ht="15">
      <c r="A45" s="173"/>
      <c r="B45" s="173"/>
      <c r="C45" s="173"/>
      <c r="D45" s="173"/>
      <c r="E45" s="173"/>
      <c r="F45" s="173"/>
      <c r="G45" s="173"/>
      <c r="H45" s="173"/>
      <c r="I45" s="143"/>
      <c r="J45" s="143"/>
      <c r="K45" s="143"/>
      <c r="L45" s="143"/>
      <c r="M45" s="143"/>
      <c r="N45" s="143"/>
      <c r="O45" s="143"/>
      <c r="P45" s="143"/>
      <c r="Q45" s="143"/>
      <c r="R45" s="143"/>
    </row>
    <row r="47" spans="2:7" ht="15">
      <c r="B47" s="174" t="s">
        <v>208</v>
      </c>
      <c r="C47" s="174"/>
      <c r="D47" s="174"/>
      <c r="E47" s="174"/>
      <c r="F47" s="174"/>
      <c r="G47" s="174"/>
    </row>
  </sheetData>
  <sheetProtection sheet="1" objects="1" scenarios="1" formatCells="0" formatColumns="0" formatRows="0" insertColumns="0" insertRows="0" insertHyperlinks="0" deleteColumns="0" deleteRows="0" selectLockedCells="1" sort="0"/>
  <mergeCells count="2">
    <mergeCell ref="B47:G47"/>
    <mergeCell ref="A37:H45"/>
  </mergeCells>
  <printOptions horizontalCentered="1"/>
  <pageMargins left="0.7" right="0.7" top="0.75" bottom="0.75" header="0.3" footer="0.3"/>
  <pageSetup fitToHeight="1" fitToWidth="1" horizontalDpi="600" verticalDpi="600" orientation="landscape" scale="73" r:id="rId1"/>
  <headerFooter>
    <oddHeader>&amp;C&amp;"-,Bold"&amp;24&amp;UProject Victories Project Selection Tool</oddHeader>
    <oddFooter>&amp;CCopyright The Volpe Consortium, Inc.</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9">
      <selection activeCell="A5" sqref="A5"/>
    </sheetView>
  </sheetViews>
  <sheetFormatPr defaultColWidth="9.140625" defaultRowHeight="15"/>
  <cols>
    <col min="1" max="1" width="27.57421875" style="0" customWidth="1"/>
    <col min="2" max="13" width="14.28125" style="0" bestFit="1" customWidth="1"/>
    <col min="14" max="14" width="15.2812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f>INT(B5/Calcs!$B$21)+1</f>
        <v>2</v>
      </c>
      <c r="C4" s="140">
        <f>INT(C5/Calcs!$B$21)+1</f>
        <v>2</v>
      </c>
      <c r="D4" s="140">
        <f>INT(D5/Calcs!$B$21)+1</f>
        <v>2</v>
      </c>
      <c r="E4" s="140">
        <f>INT(E5/Calcs!$B$21)+1</f>
        <v>2</v>
      </c>
      <c r="F4" s="140">
        <f>INT(F5/Calcs!$B$21)+1</f>
        <v>2</v>
      </c>
      <c r="G4" s="140">
        <f>INT(G5/Calcs!$B$21)+1</f>
        <v>2</v>
      </c>
      <c r="H4" s="140">
        <f>INT(H5/Calcs!$B$21)+1</f>
        <v>2</v>
      </c>
      <c r="I4" s="140">
        <f>INT(I5/Calcs!$B$21)+1</f>
        <v>2</v>
      </c>
      <c r="J4" s="140">
        <f>INT(J5/Calcs!$B$21)+1</f>
        <v>2</v>
      </c>
      <c r="K4" s="140">
        <f>INT(K5/Calcs!$B$21)+1</f>
        <v>2</v>
      </c>
      <c r="L4" s="140">
        <f>INT(L5/Calcs!$B$21)+1</f>
        <v>2</v>
      </c>
      <c r="M4" s="140">
        <f>INT(M5/Calcs!$B$21)+1</f>
        <v>2</v>
      </c>
      <c r="N4" s="74"/>
    </row>
    <row r="5" spans="1:14" ht="15">
      <c r="A5" s="132" t="s">
        <v>204</v>
      </c>
      <c r="B5" s="136">
        <f>'FY 2 Worst'!M5*1.05</f>
        <v>2425.3774495299913</v>
      </c>
      <c r="C5" s="136">
        <f>B5*1.05</f>
        <v>2546.646322006491</v>
      </c>
      <c r="D5" s="136">
        <f aca="true" t="shared" si="0" ref="D5:M5">C5*1.05</f>
        <v>2673.9786381068157</v>
      </c>
      <c r="E5" s="136">
        <f t="shared" si="0"/>
        <v>2807.6775700121566</v>
      </c>
      <c r="F5" s="136">
        <f t="shared" si="0"/>
        <v>2948.0614485127644</v>
      </c>
      <c r="G5" s="136">
        <f t="shared" si="0"/>
        <v>3095.4645209384025</v>
      </c>
      <c r="H5" s="136">
        <f t="shared" si="0"/>
        <v>3250.2377469853227</v>
      </c>
      <c r="I5" s="136">
        <f t="shared" si="0"/>
        <v>3412.749634334589</v>
      </c>
      <c r="J5" s="136">
        <f t="shared" si="0"/>
        <v>3583.3871160513186</v>
      </c>
      <c r="K5" s="136">
        <f t="shared" si="0"/>
        <v>3762.5564718538844</v>
      </c>
      <c r="L5" s="136">
        <f t="shared" si="0"/>
        <v>3950.6842954465787</v>
      </c>
      <c r="M5" s="136">
        <f t="shared" si="0"/>
        <v>4148.218510218908</v>
      </c>
      <c r="N5" s="116">
        <f>SUM(B5:M5)</f>
        <v>38605.03972399722</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480224.7350069383</v>
      </c>
      <c r="C7" s="30">
        <f aca="true" t="shared" si="1" ref="C7:M7">C5*$D$3</f>
        <v>504235.97175728524</v>
      </c>
      <c r="D7" s="30">
        <f t="shared" si="1"/>
        <v>529447.7703451494</v>
      </c>
      <c r="E7" s="30">
        <f t="shared" si="1"/>
        <v>555920.158862407</v>
      </c>
      <c r="F7" s="30">
        <f t="shared" si="1"/>
        <v>583716.1668055274</v>
      </c>
      <c r="G7" s="30">
        <f t="shared" si="1"/>
        <v>612901.9751458036</v>
      </c>
      <c r="H7" s="30">
        <f t="shared" si="1"/>
        <v>643547.0739030939</v>
      </c>
      <c r="I7" s="30">
        <f t="shared" si="1"/>
        <v>675724.4275982486</v>
      </c>
      <c r="J7" s="30">
        <f t="shared" si="1"/>
        <v>709510.648978161</v>
      </c>
      <c r="K7" s="30">
        <f t="shared" si="1"/>
        <v>744986.1814270691</v>
      </c>
      <c r="L7" s="30">
        <f t="shared" si="1"/>
        <v>782235.4904984226</v>
      </c>
      <c r="M7" s="30">
        <f t="shared" si="1"/>
        <v>821347.2650233437</v>
      </c>
      <c r="N7" s="31">
        <f>SUM(B7:M7)</f>
        <v>7643797.86535145</v>
      </c>
    </row>
    <row r="8" spans="1:14" ht="15">
      <c r="A8" s="122"/>
      <c r="B8" s="35"/>
      <c r="C8" s="35"/>
      <c r="D8" s="35"/>
      <c r="E8" s="35"/>
      <c r="F8" s="35"/>
      <c r="G8" s="35"/>
      <c r="H8" s="35"/>
      <c r="I8" s="35"/>
      <c r="J8" s="35"/>
      <c r="K8" s="35"/>
      <c r="L8" s="35"/>
      <c r="M8" s="35"/>
      <c r="N8" s="36"/>
    </row>
    <row r="9" spans="1:14" ht="15">
      <c r="A9" s="132" t="s">
        <v>56</v>
      </c>
      <c r="B9" s="21">
        <f>B5*$B$3</f>
        <v>334702.0880351388</v>
      </c>
      <c r="C9" s="21">
        <f aca="true" t="shared" si="2" ref="C9:M9">C5*$B$3</f>
        <v>351437.1924368958</v>
      </c>
      <c r="D9" s="21">
        <f t="shared" si="2"/>
        <v>369009.0520587406</v>
      </c>
      <c r="E9" s="21">
        <f t="shared" si="2"/>
        <v>387459.50466167764</v>
      </c>
      <c r="F9" s="21">
        <f t="shared" si="2"/>
        <v>406832.47989476146</v>
      </c>
      <c r="G9" s="21">
        <f t="shared" si="2"/>
        <v>427174.10388949956</v>
      </c>
      <c r="H9" s="21">
        <f t="shared" si="2"/>
        <v>448532.8090839745</v>
      </c>
      <c r="I9" s="21">
        <f t="shared" si="2"/>
        <v>470959.44953817327</v>
      </c>
      <c r="J9" s="21">
        <f t="shared" si="2"/>
        <v>494507.422015082</v>
      </c>
      <c r="K9" s="21">
        <f t="shared" si="2"/>
        <v>519232.79311583604</v>
      </c>
      <c r="L9" s="21">
        <f t="shared" si="2"/>
        <v>545194.4327716279</v>
      </c>
      <c r="M9" s="21">
        <f t="shared" si="2"/>
        <v>572454.1544102093</v>
      </c>
      <c r="N9" s="31">
        <f>SUM(B9:M9)</f>
        <v>5327495.481911616</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0</v>
      </c>
      <c r="D11" s="138">
        <v>0</v>
      </c>
      <c r="E11" s="138">
        <v>0</v>
      </c>
      <c r="F11" s="138">
        <v>0</v>
      </c>
      <c r="G11" s="138">
        <v>0</v>
      </c>
      <c r="H11" s="138">
        <v>0</v>
      </c>
      <c r="I11" s="138">
        <v>0</v>
      </c>
      <c r="J11" s="138">
        <v>0</v>
      </c>
      <c r="K11" s="138">
        <v>0</v>
      </c>
      <c r="L11" s="138">
        <v>200000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 aca="true" t="shared" si="3" ref="N13:N32">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9050</v>
      </c>
      <c r="C15" s="138">
        <v>9050</v>
      </c>
      <c r="D15" s="138">
        <v>9050</v>
      </c>
      <c r="E15" s="138">
        <v>9050</v>
      </c>
      <c r="F15" s="138">
        <v>9050</v>
      </c>
      <c r="G15" s="138">
        <v>9050</v>
      </c>
      <c r="H15" s="138">
        <v>9050</v>
      </c>
      <c r="I15" s="138">
        <v>9050</v>
      </c>
      <c r="J15" s="138">
        <v>9050</v>
      </c>
      <c r="K15" s="138">
        <v>9050</v>
      </c>
      <c r="L15" s="138">
        <v>9050</v>
      </c>
      <c r="M15" s="138">
        <v>9050</v>
      </c>
      <c r="N15" s="57">
        <f t="shared" si="3"/>
        <v>108600</v>
      </c>
    </row>
    <row r="16" spans="1:14" ht="15">
      <c r="A16" s="132" t="s">
        <v>190</v>
      </c>
      <c r="B16" s="138">
        <v>4525</v>
      </c>
      <c r="C16" s="138">
        <v>4525</v>
      </c>
      <c r="D16" s="138">
        <v>4525</v>
      </c>
      <c r="E16" s="138">
        <v>4525</v>
      </c>
      <c r="F16" s="138">
        <v>4525</v>
      </c>
      <c r="G16" s="138">
        <v>9050</v>
      </c>
      <c r="H16" s="138">
        <v>9050</v>
      </c>
      <c r="I16" s="138">
        <v>9050</v>
      </c>
      <c r="J16" s="138">
        <v>9050</v>
      </c>
      <c r="K16" s="138">
        <v>9050</v>
      </c>
      <c r="L16" s="138">
        <v>9050</v>
      </c>
      <c r="M16" s="138">
        <v>9050</v>
      </c>
      <c r="N16" s="57">
        <f t="shared" si="3"/>
        <v>85975</v>
      </c>
    </row>
    <row r="17" spans="1:14" ht="15">
      <c r="A17" s="132" t="s">
        <v>191</v>
      </c>
      <c r="B17" s="138">
        <v>4525</v>
      </c>
      <c r="C17" s="138">
        <v>4525</v>
      </c>
      <c r="D17" s="138">
        <v>4525</v>
      </c>
      <c r="E17" s="138">
        <v>4525</v>
      </c>
      <c r="F17" s="138">
        <v>4525</v>
      </c>
      <c r="G17" s="138">
        <v>4525</v>
      </c>
      <c r="H17" s="138">
        <v>4525</v>
      </c>
      <c r="I17" s="138">
        <v>4525</v>
      </c>
      <c r="J17" s="138">
        <v>4525</v>
      </c>
      <c r="K17" s="138">
        <v>9050</v>
      </c>
      <c r="L17" s="138">
        <v>9050</v>
      </c>
      <c r="M17" s="138">
        <v>9050</v>
      </c>
      <c r="N17" s="57">
        <f t="shared" si="3"/>
        <v>67875</v>
      </c>
    </row>
    <row r="18" spans="1:14" ht="15">
      <c r="A18" s="132" t="s">
        <v>192</v>
      </c>
      <c r="B18" s="138">
        <v>4525</v>
      </c>
      <c r="C18" s="138">
        <v>4525</v>
      </c>
      <c r="D18" s="138">
        <v>4525</v>
      </c>
      <c r="E18" s="138">
        <v>4525</v>
      </c>
      <c r="F18" s="138">
        <v>4525</v>
      </c>
      <c r="G18" s="138">
        <v>4525</v>
      </c>
      <c r="H18" s="138">
        <v>4525</v>
      </c>
      <c r="I18" s="138">
        <v>4525</v>
      </c>
      <c r="J18" s="138">
        <v>4525</v>
      </c>
      <c r="K18" s="138">
        <v>4525</v>
      </c>
      <c r="L18" s="138">
        <v>4525</v>
      </c>
      <c r="M18" s="138">
        <v>4525</v>
      </c>
      <c r="N18" s="57">
        <f>SUM(B18:M18)</f>
        <v>54300</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44">
        <v>8800</v>
      </c>
      <c r="C20" s="144">
        <v>8800</v>
      </c>
      <c r="D20" s="144">
        <v>8800</v>
      </c>
      <c r="E20" s="144">
        <v>8800</v>
      </c>
      <c r="F20" s="144">
        <v>8800</v>
      </c>
      <c r="G20" s="144">
        <v>8800</v>
      </c>
      <c r="H20" s="144">
        <v>8800</v>
      </c>
      <c r="I20" s="144">
        <v>8800</v>
      </c>
      <c r="J20" s="144">
        <v>8800</v>
      </c>
      <c r="K20" s="144">
        <v>8800</v>
      </c>
      <c r="L20" s="144">
        <v>8800</v>
      </c>
      <c r="M20" s="144">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1268.884</v>
      </c>
      <c r="C27" s="138">
        <f aca="true" t="shared" si="4" ref="C27:M27">(C4*300*30*0.007469)*2+1000</f>
        <v>1268.884</v>
      </c>
      <c r="D27" s="138">
        <f t="shared" si="4"/>
        <v>1268.884</v>
      </c>
      <c r="E27" s="138">
        <f t="shared" si="4"/>
        <v>1268.884</v>
      </c>
      <c r="F27" s="138">
        <f t="shared" si="4"/>
        <v>1268.884</v>
      </c>
      <c r="G27" s="138">
        <f t="shared" si="4"/>
        <v>1268.884</v>
      </c>
      <c r="H27" s="138">
        <f t="shared" si="4"/>
        <v>1268.884</v>
      </c>
      <c r="I27" s="138">
        <f t="shared" si="4"/>
        <v>1268.884</v>
      </c>
      <c r="J27" s="138">
        <f t="shared" si="4"/>
        <v>1268.884</v>
      </c>
      <c r="K27" s="138">
        <f t="shared" si="4"/>
        <v>1268.884</v>
      </c>
      <c r="L27" s="138">
        <f t="shared" si="4"/>
        <v>1268.884</v>
      </c>
      <c r="M27" s="138">
        <f t="shared" si="4"/>
        <v>1268.884</v>
      </c>
      <c r="N27" s="57">
        <f t="shared" si="3"/>
        <v>15226.608</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f>6500+2*(B5/2)</f>
        <v>8925.377449529991</v>
      </c>
      <c r="C31" s="138">
        <f aca="true" t="shared" si="5" ref="C31:M31">6500+2*(C5/2)</f>
        <v>9046.64632200649</v>
      </c>
      <c r="D31" s="138">
        <f t="shared" si="5"/>
        <v>9173.978638106815</v>
      </c>
      <c r="E31" s="138">
        <f t="shared" si="5"/>
        <v>9307.677570012156</v>
      </c>
      <c r="F31" s="138">
        <f t="shared" si="5"/>
        <v>9448.061448512764</v>
      </c>
      <c r="G31" s="138">
        <f t="shared" si="5"/>
        <v>9595.464520938403</v>
      </c>
      <c r="H31" s="138">
        <f t="shared" si="5"/>
        <v>9750.237746985324</v>
      </c>
      <c r="I31" s="138">
        <f t="shared" si="5"/>
        <v>9912.749634334588</v>
      </c>
      <c r="J31" s="138">
        <f t="shared" si="5"/>
        <v>10083.387116051319</v>
      </c>
      <c r="K31" s="138">
        <f t="shared" si="5"/>
        <v>10262.556471853884</v>
      </c>
      <c r="L31" s="138">
        <f t="shared" si="5"/>
        <v>10450.68429544658</v>
      </c>
      <c r="M31" s="138">
        <f t="shared" si="5"/>
        <v>10648.218510218907</v>
      </c>
      <c r="N31" s="57">
        <f t="shared" si="3"/>
        <v>116605.03972399724</v>
      </c>
    </row>
    <row r="32" spans="1:14" ht="15">
      <c r="A32" s="133" t="s">
        <v>59</v>
      </c>
      <c r="B32" s="138">
        <f aca="true" t="shared" si="6" ref="B32:M32">3400+1*(B4/2)</f>
        <v>3401</v>
      </c>
      <c r="C32" s="138">
        <f t="shared" si="6"/>
        <v>3401</v>
      </c>
      <c r="D32" s="138">
        <f t="shared" si="6"/>
        <v>3401</v>
      </c>
      <c r="E32" s="138">
        <f t="shared" si="6"/>
        <v>3401</v>
      </c>
      <c r="F32" s="138">
        <f t="shared" si="6"/>
        <v>3401</v>
      </c>
      <c r="G32" s="138">
        <f t="shared" si="6"/>
        <v>3401</v>
      </c>
      <c r="H32" s="138">
        <f t="shared" si="6"/>
        <v>3401</v>
      </c>
      <c r="I32" s="138">
        <f t="shared" si="6"/>
        <v>3401</v>
      </c>
      <c r="J32" s="138">
        <f t="shared" si="6"/>
        <v>3401</v>
      </c>
      <c r="K32" s="138">
        <f t="shared" si="6"/>
        <v>3401</v>
      </c>
      <c r="L32" s="138">
        <f t="shared" si="6"/>
        <v>3401</v>
      </c>
      <c r="M32" s="138">
        <f t="shared" si="6"/>
        <v>3401</v>
      </c>
      <c r="N32" s="57">
        <f t="shared" si="3"/>
        <v>40812</v>
      </c>
    </row>
    <row r="33" spans="1:14" ht="15.75" thickBot="1">
      <c r="A33" s="133" t="s">
        <v>58</v>
      </c>
      <c r="B33" s="138">
        <f aca="true" t="shared" si="7" ref="B33:M33">3400+1*(B5/2)</f>
        <v>4612.688724764996</v>
      </c>
      <c r="C33" s="138">
        <f t="shared" si="7"/>
        <v>4673.323161003245</v>
      </c>
      <c r="D33" s="138">
        <f t="shared" si="7"/>
        <v>4736.989319053408</v>
      </c>
      <c r="E33" s="138">
        <f t="shared" si="7"/>
        <v>4803.838785006078</v>
      </c>
      <c r="F33" s="138">
        <f t="shared" si="7"/>
        <v>4874.030724256382</v>
      </c>
      <c r="G33" s="138">
        <f t="shared" si="7"/>
        <v>4947.732260469202</v>
      </c>
      <c r="H33" s="138">
        <f t="shared" si="7"/>
        <v>5025.118873492662</v>
      </c>
      <c r="I33" s="138">
        <f t="shared" si="7"/>
        <v>5106.374817167294</v>
      </c>
      <c r="J33" s="138">
        <f t="shared" si="7"/>
        <v>5191.6935580256595</v>
      </c>
      <c r="K33" s="138">
        <f t="shared" si="7"/>
        <v>5281.278235926942</v>
      </c>
      <c r="L33" s="138">
        <f t="shared" si="7"/>
        <v>5375.34214772329</v>
      </c>
      <c r="M33" s="138">
        <f t="shared" si="7"/>
        <v>5474.109255109453</v>
      </c>
      <c r="N33" s="34">
        <f>SUM(B33:M33)</f>
        <v>60102.51986199861</v>
      </c>
    </row>
    <row r="34" spans="1:14" ht="15.75" thickBot="1">
      <c r="A34" s="134" t="s">
        <v>94</v>
      </c>
      <c r="B34" s="22">
        <f aca="true" t="shared" si="8" ref="B34:M34">B7-SUM(B9:B33)</f>
        <v>-31577.303202495503</v>
      </c>
      <c r="C34" s="22">
        <f t="shared" si="8"/>
        <v>-24483.074162620294</v>
      </c>
      <c r="D34" s="22">
        <f t="shared" si="8"/>
        <v>-17034.133670751355</v>
      </c>
      <c r="E34" s="22">
        <f t="shared" si="8"/>
        <v>-9212.746154288878</v>
      </c>
      <c r="F34" s="22">
        <f t="shared" si="8"/>
        <v>-1000.2892620031489</v>
      </c>
      <c r="G34" s="22">
        <f t="shared" si="8"/>
        <v>3097.790474896552</v>
      </c>
      <c r="H34" s="22">
        <f t="shared" si="8"/>
        <v>12152.024198641535</v>
      </c>
      <c r="I34" s="22">
        <f t="shared" si="8"/>
        <v>21658.969608573476</v>
      </c>
      <c r="J34" s="22">
        <f t="shared" si="8"/>
        <v>31641.26228900219</v>
      </c>
      <c r="K34" s="22">
        <f t="shared" si="8"/>
        <v>37597.6696034522</v>
      </c>
      <c r="L34" s="22">
        <f t="shared" si="8"/>
        <v>-151396.85271637514</v>
      </c>
      <c r="M34" s="22">
        <f t="shared" si="8"/>
        <v>60158.89884780615</v>
      </c>
      <c r="N34" s="23">
        <f>SUM(B34:M34)</f>
        <v>-68397.78414616222</v>
      </c>
    </row>
    <row r="37" spans="1:14" ht="15">
      <c r="A37" s="173" t="s">
        <v>212</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6">
      <selection activeCell="A6" sqref="A6"/>
    </sheetView>
  </sheetViews>
  <sheetFormatPr defaultColWidth="9.140625" defaultRowHeight="15"/>
  <cols>
    <col min="1" max="1" width="28.140625" style="0" bestFit="1" customWidth="1"/>
    <col min="2" max="13" width="14.28125" style="0" bestFit="1" customWidth="1"/>
    <col min="14" max="14" width="15.2812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v>2</v>
      </c>
      <c r="C4" s="140">
        <v>2</v>
      </c>
      <c r="D4" s="140">
        <v>3</v>
      </c>
      <c r="E4" s="140">
        <f>INT(E5/Calcs!$B$21)+1</f>
        <v>3</v>
      </c>
      <c r="F4" s="140">
        <f>INT(F5/Calcs!$B$21)+1</f>
        <v>3</v>
      </c>
      <c r="G4" s="140">
        <f>INT(G5/Calcs!$B$21)+1</f>
        <v>3</v>
      </c>
      <c r="H4" s="140">
        <f>INT(H5/Calcs!$B$21)+1</f>
        <v>3</v>
      </c>
      <c r="I4" s="140">
        <f>INT(I5/Calcs!$B$21)+1</f>
        <v>3</v>
      </c>
      <c r="J4" s="140">
        <v>3</v>
      </c>
      <c r="K4" s="140">
        <v>3</v>
      </c>
      <c r="L4" s="140">
        <v>3</v>
      </c>
      <c r="M4" s="140">
        <f>INT(M5/Calcs!$B$21)+1</f>
        <v>4</v>
      </c>
      <c r="N4" s="74"/>
    </row>
    <row r="5" spans="1:14" ht="15">
      <c r="A5" s="132" t="s">
        <v>204</v>
      </c>
      <c r="B5" s="136">
        <f>'FY 3 Worst'!M5*1.05</f>
        <v>4355.629435729853</v>
      </c>
      <c r="C5" s="136">
        <f>B5*1.05</f>
        <v>4573.410907516346</v>
      </c>
      <c r="D5" s="136">
        <f aca="true" t="shared" si="0" ref="D5:M5">C5*1.05</f>
        <v>4802.081452892164</v>
      </c>
      <c r="E5" s="136">
        <f t="shared" si="0"/>
        <v>5042.185525536772</v>
      </c>
      <c r="F5" s="136">
        <f t="shared" si="0"/>
        <v>5294.29480181361</v>
      </c>
      <c r="G5" s="136">
        <f t="shared" si="0"/>
        <v>5559.009541904291</v>
      </c>
      <c r="H5" s="136">
        <f t="shared" si="0"/>
        <v>5836.960018999505</v>
      </c>
      <c r="I5" s="136">
        <f t="shared" si="0"/>
        <v>6128.808019949481</v>
      </c>
      <c r="J5" s="136">
        <f t="shared" si="0"/>
        <v>6435.248420946955</v>
      </c>
      <c r="K5" s="136">
        <f t="shared" si="0"/>
        <v>6757.010841994303</v>
      </c>
      <c r="L5" s="136">
        <f t="shared" si="0"/>
        <v>7094.861384094018</v>
      </c>
      <c r="M5" s="136">
        <f t="shared" si="0"/>
        <v>7449.604453298719</v>
      </c>
      <c r="N5" s="116">
        <f>SUM(B5:M5)</f>
        <v>69329.10480467601</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862414.6282745108</v>
      </c>
      <c r="C7" s="30">
        <f aca="true" t="shared" si="1" ref="C7:M7">C5*$D$3</f>
        <v>905535.3596882365</v>
      </c>
      <c r="D7" s="30">
        <f t="shared" si="1"/>
        <v>950812.1276726484</v>
      </c>
      <c r="E7" s="30">
        <f t="shared" si="1"/>
        <v>998352.7340562808</v>
      </c>
      <c r="F7" s="30">
        <f t="shared" si="1"/>
        <v>1048270.3707590948</v>
      </c>
      <c r="G7" s="30">
        <f t="shared" si="1"/>
        <v>1100683.8892970495</v>
      </c>
      <c r="H7" s="30">
        <f t="shared" si="1"/>
        <v>1155718.083761902</v>
      </c>
      <c r="I7" s="30">
        <f t="shared" si="1"/>
        <v>1213503.9879499972</v>
      </c>
      <c r="J7" s="30">
        <f t="shared" si="1"/>
        <v>1274179.187347497</v>
      </c>
      <c r="K7" s="30">
        <f t="shared" si="1"/>
        <v>1337888.146714872</v>
      </c>
      <c r="L7" s="30">
        <f t="shared" si="1"/>
        <v>1404782.5540506155</v>
      </c>
      <c r="M7" s="30">
        <f t="shared" si="1"/>
        <v>1475021.6817531462</v>
      </c>
      <c r="N7" s="31">
        <f>SUM(B7:M7)</f>
        <v>13727162.751325851</v>
      </c>
    </row>
    <row r="8" spans="1:14" ht="15">
      <c r="A8" s="122"/>
      <c r="B8" s="35"/>
      <c r="C8" s="35"/>
      <c r="D8" s="35"/>
      <c r="E8" s="35"/>
      <c r="F8" s="35"/>
      <c r="G8" s="35"/>
      <c r="H8" s="35"/>
      <c r="I8" s="35"/>
      <c r="J8" s="35"/>
      <c r="K8" s="35"/>
      <c r="L8" s="35"/>
      <c r="M8" s="35"/>
      <c r="N8" s="36"/>
    </row>
    <row r="9" spans="1:14" ht="15">
      <c r="A9" s="132" t="s">
        <v>56</v>
      </c>
      <c r="B9" s="21">
        <f>B5*$B$3</f>
        <v>601076.8621307197</v>
      </c>
      <c r="C9" s="21">
        <f aca="true" t="shared" si="2" ref="C9:M9">C5*$B$3</f>
        <v>631130.7052372558</v>
      </c>
      <c r="D9" s="21">
        <f t="shared" si="2"/>
        <v>662687.2404991186</v>
      </c>
      <c r="E9" s="21">
        <f t="shared" si="2"/>
        <v>695821.6025240745</v>
      </c>
      <c r="F9" s="21">
        <f t="shared" si="2"/>
        <v>730612.6826502782</v>
      </c>
      <c r="G9" s="21">
        <f t="shared" si="2"/>
        <v>767143.3167827921</v>
      </c>
      <c r="H9" s="21">
        <f t="shared" si="2"/>
        <v>805500.4826219317</v>
      </c>
      <c r="I9" s="21">
        <f t="shared" si="2"/>
        <v>845775.5067530284</v>
      </c>
      <c r="J9" s="21">
        <f t="shared" si="2"/>
        <v>888064.2820906797</v>
      </c>
      <c r="K9" s="21">
        <f t="shared" si="2"/>
        <v>932467.4961952138</v>
      </c>
      <c r="L9" s="21">
        <f t="shared" si="2"/>
        <v>979090.8710049745</v>
      </c>
      <c r="M9" s="21">
        <f t="shared" si="2"/>
        <v>1028045.4145552232</v>
      </c>
      <c r="N9" s="31">
        <f>SUM(B9:M9)</f>
        <v>9567416.46304529</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c r="D11" s="138">
        <v>0</v>
      </c>
      <c r="E11" s="138">
        <v>0</v>
      </c>
      <c r="F11" s="138">
        <v>0</v>
      </c>
      <c r="G11" s="138">
        <v>0</v>
      </c>
      <c r="H11" s="138">
        <v>0</v>
      </c>
      <c r="I11" s="138">
        <v>200000</v>
      </c>
      <c r="J11" s="138">
        <v>0</v>
      </c>
      <c r="K11" s="138">
        <v>0</v>
      </c>
      <c r="L11" s="138">
        <v>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 aca="true" t="shared" si="3" ref="N13:N31">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9050</v>
      </c>
      <c r="C15" s="138">
        <v>9050</v>
      </c>
      <c r="D15" s="138">
        <v>13575</v>
      </c>
      <c r="E15" s="138">
        <v>13575</v>
      </c>
      <c r="F15" s="138">
        <v>13575</v>
      </c>
      <c r="G15" s="138">
        <v>13575</v>
      </c>
      <c r="H15" s="138">
        <v>13575</v>
      </c>
      <c r="I15" s="138">
        <v>13575</v>
      </c>
      <c r="J15" s="138">
        <v>13575</v>
      </c>
      <c r="K15" s="138">
        <v>13575</v>
      </c>
      <c r="L15" s="138">
        <v>13575</v>
      </c>
      <c r="M15" s="138">
        <v>18100</v>
      </c>
      <c r="N15" s="57">
        <f t="shared" si="3"/>
        <v>158375</v>
      </c>
    </row>
    <row r="16" spans="1:14" ht="15">
      <c r="A16" s="132" t="s">
        <v>190</v>
      </c>
      <c r="B16" s="138">
        <v>9050</v>
      </c>
      <c r="C16" s="138">
        <v>9050</v>
      </c>
      <c r="D16" s="138">
        <v>9050</v>
      </c>
      <c r="E16" s="138">
        <v>9050</v>
      </c>
      <c r="F16" s="138">
        <v>9050</v>
      </c>
      <c r="G16" s="138">
        <v>13575</v>
      </c>
      <c r="H16" s="138">
        <v>13575</v>
      </c>
      <c r="I16" s="138">
        <v>13575</v>
      </c>
      <c r="J16" s="138">
        <v>13575</v>
      </c>
      <c r="K16" s="138">
        <v>13575</v>
      </c>
      <c r="L16" s="138">
        <v>13575</v>
      </c>
      <c r="M16" s="138">
        <v>13575</v>
      </c>
      <c r="N16" s="57">
        <f t="shared" si="3"/>
        <v>140275</v>
      </c>
    </row>
    <row r="17" spans="1:14" ht="15">
      <c r="A17" s="132" t="s">
        <v>191</v>
      </c>
      <c r="B17" s="138">
        <v>9050</v>
      </c>
      <c r="C17" s="138">
        <v>9050</v>
      </c>
      <c r="D17" s="138">
        <v>9050</v>
      </c>
      <c r="E17" s="138">
        <v>9050</v>
      </c>
      <c r="F17" s="138">
        <v>9050</v>
      </c>
      <c r="G17" s="138">
        <v>9050</v>
      </c>
      <c r="H17" s="138">
        <v>9050</v>
      </c>
      <c r="I17" s="138">
        <v>13575</v>
      </c>
      <c r="J17" s="138">
        <v>13575</v>
      </c>
      <c r="K17" s="138">
        <v>13575</v>
      </c>
      <c r="L17" s="138">
        <v>13575</v>
      </c>
      <c r="M17" s="138">
        <v>13575</v>
      </c>
      <c r="N17" s="57">
        <f t="shared" si="3"/>
        <v>131225</v>
      </c>
    </row>
    <row r="18" spans="1:14" ht="15">
      <c r="A18" s="132" t="s">
        <v>192</v>
      </c>
      <c r="B18" s="138">
        <v>9050</v>
      </c>
      <c r="C18" s="138">
        <v>9050</v>
      </c>
      <c r="D18" s="138">
        <v>9050</v>
      </c>
      <c r="E18" s="138">
        <v>9050</v>
      </c>
      <c r="F18" s="138">
        <v>9050</v>
      </c>
      <c r="G18" s="138">
        <v>9050</v>
      </c>
      <c r="H18" s="138">
        <v>9050</v>
      </c>
      <c r="I18" s="138">
        <v>9050</v>
      </c>
      <c r="J18" s="138">
        <v>9050</v>
      </c>
      <c r="K18" s="138">
        <v>13575</v>
      </c>
      <c r="L18" s="138">
        <v>13575</v>
      </c>
      <c r="M18" s="138">
        <v>13575</v>
      </c>
      <c r="N18" s="57">
        <f>SUM(B18:M18)</f>
        <v>122175</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44">
        <v>8800</v>
      </c>
      <c r="C20" s="144">
        <v>8800</v>
      </c>
      <c r="D20" s="144">
        <v>8800</v>
      </c>
      <c r="E20" s="144">
        <v>8800</v>
      </c>
      <c r="F20" s="144">
        <v>8800</v>
      </c>
      <c r="G20" s="144">
        <v>8800</v>
      </c>
      <c r="H20" s="144">
        <v>8800</v>
      </c>
      <c r="I20" s="144">
        <v>8800</v>
      </c>
      <c r="J20" s="144">
        <v>8800</v>
      </c>
      <c r="K20" s="144">
        <v>8800</v>
      </c>
      <c r="L20" s="144">
        <v>8800</v>
      </c>
      <c r="M20" s="144">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1268.884</v>
      </c>
      <c r="C27" s="138">
        <f aca="true" t="shared" si="4" ref="C27:M27">(C4*300*30*0.007469)*2+1000</f>
        <v>1268.884</v>
      </c>
      <c r="D27" s="138">
        <f t="shared" si="4"/>
        <v>1403.326</v>
      </c>
      <c r="E27" s="138">
        <f t="shared" si="4"/>
        <v>1403.326</v>
      </c>
      <c r="F27" s="138">
        <f t="shared" si="4"/>
        <v>1403.326</v>
      </c>
      <c r="G27" s="138">
        <f t="shared" si="4"/>
        <v>1403.326</v>
      </c>
      <c r="H27" s="138">
        <f t="shared" si="4"/>
        <v>1403.326</v>
      </c>
      <c r="I27" s="138">
        <f t="shared" si="4"/>
        <v>1403.326</v>
      </c>
      <c r="J27" s="138">
        <f t="shared" si="4"/>
        <v>1403.326</v>
      </c>
      <c r="K27" s="138">
        <f t="shared" si="4"/>
        <v>1403.326</v>
      </c>
      <c r="L27" s="138">
        <f t="shared" si="4"/>
        <v>1403.326</v>
      </c>
      <c r="M27" s="138">
        <f t="shared" si="4"/>
        <v>1537.768</v>
      </c>
      <c r="N27" s="57">
        <f t="shared" si="3"/>
        <v>16705.470000000005</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f>6500+2*(B5/2)</f>
        <v>10855.629435729854</v>
      </c>
      <c r="C31" s="138">
        <f aca="true" t="shared" si="5" ref="C31:M31">6500+2*(C5/2)</f>
        <v>11073.410907516347</v>
      </c>
      <c r="D31" s="138">
        <f t="shared" si="5"/>
        <v>11302.081452892164</v>
      </c>
      <c r="E31" s="138">
        <f t="shared" si="5"/>
        <v>11542.185525536772</v>
      </c>
      <c r="F31" s="138">
        <f t="shared" si="5"/>
        <v>11794.29480181361</v>
      </c>
      <c r="G31" s="138">
        <f t="shared" si="5"/>
        <v>12059.009541904292</v>
      </c>
      <c r="H31" s="138">
        <f t="shared" si="5"/>
        <v>12336.960018999505</v>
      </c>
      <c r="I31" s="138">
        <f t="shared" si="5"/>
        <v>12628.80801994948</v>
      </c>
      <c r="J31" s="138">
        <f t="shared" si="5"/>
        <v>12935.248420946955</v>
      </c>
      <c r="K31" s="138">
        <f t="shared" si="5"/>
        <v>13257.010841994303</v>
      </c>
      <c r="L31" s="138">
        <f t="shared" si="5"/>
        <v>13594.861384094018</v>
      </c>
      <c r="M31" s="138">
        <f t="shared" si="5"/>
        <v>13949.604453298718</v>
      </c>
      <c r="N31" s="57">
        <f t="shared" si="3"/>
        <v>147329.10480467603</v>
      </c>
    </row>
    <row r="32" spans="1:14" ht="15">
      <c r="A32" s="133" t="s">
        <v>59</v>
      </c>
      <c r="B32" s="138">
        <f aca="true" t="shared" si="6" ref="B32:M32">3400+1*(B4/2)</f>
        <v>3401</v>
      </c>
      <c r="C32" s="138">
        <f t="shared" si="6"/>
        <v>3401</v>
      </c>
      <c r="D32" s="138">
        <f t="shared" si="6"/>
        <v>3401.5</v>
      </c>
      <c r="E32" s="138">
        <f t="shared" si="6"/>
        <v>3401.5</v>
      </c>
      <c r="F32" s="138">
        <f t="shared" si="6"/>
        <v>3401.5</v>
      </c>
      <c r="G32" s="138">
        <f t="shared" si="6"/>
        <v>3401.5</v>
      </c>
      <c r="H32" s="138">
        <f t="shared" si="6"/>
        <v>3401.5</v>
      </c>
      <c r="I32" s="138">
        <f t="shared" si="6"/>
        <v>3401.5</v>
      </c>
      <c r="J32" s="138">
        <f t="shared" si="6"/>
        <v>3401.5</v>
      </c>
      <c r="K32" s="138">
        <f t="shared" si="6"/>
        <v>3401.5</v>
      </c>
      <c r="L32" s="138">
        <f t="shared" si="6"/>
        <v>3401.5</v>
      </c>
      <c r="M32" s="138">
        <f t="shared" si="6"/>
        <v>3402</v>
      </c>
      <c r="N32" s="31">
        <f>SUM(B32:M32)</f>
        <v>40817.5</v>
      </c>
    </row>
    <row r="33" spans="1:14" ht="15.75" thickBot="1">
      <c r="A33" s="133" t="s">
        <v>58</v>
      </c>
      <c r="B33" s="138">
        <f aca="true" t="shared" si="7" ref="B33:M33">3400+1*(B5/2)</f>
        <v>5577.814717864927</v>
      </c>
      <c r="C33" s="138">
        <f t="shared" si="7"/>
        <v>5686.7054537581735</v>
      </c>
      <c r="D33" s="138">
        <f t="shared" si="7"/>
        <v>5801.040726446082</v>
      </c>
      <c r="E33" s="138">
        <f t="shared" si="7"/>
        <v>5921.092762768386</v>
      </c>
      <c r="F33" s="138">
        <f t="shared" si="7"/>
        <v>6047.147400906805</v>
      </c>
      <c r="G33" s="138">
        <f t="shared" si="7"/>
        <v>6179.504770952146</v>
      </c>
      <c r="H33" s="138">
        <f t="shared" si="7"/>
        <v>6318.480009499753</v>
      </c>
      <c r="I33" s="138">
        <f t="shared" si="7"/>
        <v>6464.40400997474</v>
      </c>
      <c r="J33" s="138">
        <f t="shared" si="7"/>
        <v>6617.624210473477</v>
      </c>
      <c r="K33" s="138">
        <f t="shared" si="7"/>
        <v>6778.505420997151</v>
      </c>
      <c r="L33" s="138">
        <f t="shared" si="7"/>
        <v>6947.430692047009</v>
      </c>
      <c r="M33" s="138">
        <f t="shared" si="7"/>
        <v>7124.802226649359</v>
      </c>
      <c r="N33" s="57">
        <f>SUM(B33:M33)</f>
        <v>75464.55240233801</v>
      </c>
    </row>
    <row r="34" spans="1:14" ht="15.75" thickBot="1">
      <c r="A34" s="134" t="s">
        <v>94</v>
      </c>
      <c r="B34" s="22">
        <f aca="true" t="shared" si="8" ref="B34:M34">B7-SUM(B9:B33)</f>
        <v>67767.4379901964</v>
      </c>
      <c r="C34" s="22">
        <f t="shared" si="8"/>
        <v>80507.65408970625</v>
      </c>
      <c r="D34" s="22">
        <f t="shared" si="8"/>
        <v>89224.93899419159</v>
      </c>
      <c r="E34" s="22">
        <f t="shared" si="8"/>
        <v>103271.02724390116</v>
      </c>
      <c r="F34" s="22">
        <f t="shared" si="8"/>
        <v>118019.41990609618</v>
      </c>
      <c r="G34" s="22">
        <f t="shared" si="8"/>
        <v>128980.23220140091</v>
      </c>
      <c r="H34" s="22">
        <f t="shared" si="8"/>
        <v>145240.33511147113</v>
      </c>
      <c r="I34" s="22">
        <f t="shared" si="8"/>
        <v>-42211.55683295545</v>
      </c>
      <c r="J34" s="22">
        <f t="shared" si="8"/>
        <v>175715.20662539708</v>
      </c>
      <c r="K34" s="22">
        <f t="shared" si="8"/>
        <v>190013.30825666687</v>
      </c>
      <c r="L34" s="22">
        <f t="shared" si="8"/>
        <v>209777.56496950006</v>
      </c>
      <c r="M34" s="22">
        <f t="shared" si="8"/>
        <v>225870.09251797502</v>
      </c>
      <c r="N34" s="23">
        <f>SUM(B34:M34)</f>
        <v>1492175.661073547</v>
      </c>
    </row>
    <row r="37" spans="1:14" ht="15">
      <c r="A37" s="173" t="s">
        <v>212</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45"/>
  <sheetViews>
    <sheetView tabSelected="1" view="pageLayout" workbookViewId="0" topLeftCell="A1">
      <selection activeCell="D10" sqref="D10"/>
    </sheetView>
  </sheetViews>
  <sheetFormatPr defaultColWidth="9.140625" defaultRowHeight="15"/>
  <cols>
    <col min="1" max="1" width="27.57421875" style="0" customWidth="1"/>
    <col min="2" max="13" width="14.28125" style="0" bestFit="1" customWidth="1"/>
    <col min="14" max="14" width="15.2812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f>INT(B5/Calcs!$B$21)+1</f>
        <v>4</v>
      </c>
      <c r="C4" s="140">
        <f>INT(C5/Calcs!$B$21)+1</f>
        <v>4</v>
      </c>
      <c r="D4" s="140">
        <f>INT(D5/Calcs!$B$21)+1</f>
        <v>4</v>
      </c>
      <c r="E4" s="140">
        <f>INT(E5/Calcs!$B$21)+1</f>
        <v>4</v>
      </c>
      <c r="F4" s="140">
        <v>4</v>
      </c>
      <c r="G4" s="140">
        <v>4</v>
      </c>
      <c r="H4" s="140">
        <v>4</v>
      </c>
      <c r="I4" s="140">
        <v>4</v>
      </c>
      <c r="J4" s="140">
        <f>INT(J5/Calcs!$B$21)+1</f>
        <v>5</v>
      </c>
      <c r="K4" s="140">
        <f>INT(K5/Calcs!$B$21)+1</f>
        <v>5</v>
      </c>
      <c r="L4" s="140">
        <f>INT(L5/Calcs!$B$21)+1</f>
        <v>5</v>
      </c>
      <c r="M4" s="140">
        <v>5</v>
      </c>
      <c r="N4" s="74"/>
    </row>
    <row r="5" spans="1:14" ht="15">
      <c r="A5" s="132" t="s">
        <v>204</v>
      </c>
      <c r="B5" s="136">
        <f>'FY 4 Worst'!M5*1.03</f>
        <v>7673.092586897681</v>
      </c>
      <c r="C5" s="136">
        <f>B5*1.03</f>
        <v>7903.285364504612</v>
      </c>
      <c r="D5" s="136">
        <f aca="true" t="shared" si="0" ref="D5:M5">C5*1.03</f>
        <v>8140.38392543975</v>
      </c>
      <c r="E5" s="136">
        <f t="shared" si="0"/>
        <v>8384.595443202943</v>
      </c>
      <c r="F5" s="136">
        <f t="shared" si="0"/>
        <v>8636.133306499032</v>
      </c>
      <c r="G5" s="136">
        <f t="shared" si="0"/>
        <v>8895.217305694003</v>
      </c>
      <c r="H5" s="136">
        <f t="shared" si="0"/>
        <v>9162.073824864823</v>
      </c>
      <c r="I5" s="136">
        <f t="shared" si="0"/>
        <v>9436.936039610768</v>
      </c>
      <c r="J5" s="136">
        <f t="shared" si="0"/>
        <v>9720.044120799092</v>
      </c>
      <c r="K5" s="136">
        <f t="shared" si="0"/>
        <v>10011.645444423064</v>
      </c>
      <c r="L5" s="136">
        <f t="shared" si="0"/>
        <v>10311.994807755756</v>
      </c>
      <c r="M5" s="136">
        <f t="shared" si="0"/>
        <v>10621.35465198843</v>
      </c>
      <c r="N5" s="116">
        <f>SUM(B5:M5)</f>
        <v>108896.75682167994</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4" ht="15">
      <c r="A7" s="132" t="s">
        <v>55</v>
      </c>
      <c r="B7" s="30">
        <f>B5*$D$3</f>
        <v>1519272.3322057407</v>
      </c>
      <c r="C7" s="30">
        <f aca="true" t="shared" si="1" ref="C7:M7">C5*$D$3</f>
        <v>1564850.5021719132</v>
      </c>
      <c r="D7" s="30">
        <f t="shared" si="1"/>
        <v>1611796.0172370705</v>
      </c>
      <c r="E7" s="30">
        <f t="shared" si="1"/>
        <v>1660149.8977541828</v>
      </c>
      <c r="F7" s="30">
        <f t="shared" si="1"/>
        <v>1709954.3946868083</v>
      </c>
      <c r="G7" s="30">
        <f t="shared" si="1"/>
        <v>1761253.0265274125</v>
      </c>
      <c r="H7" s="30">
        <f t="shared" si="1"/>
        <v>1814090.617323235</v>
      </c>
      <c r="I7" s="30">
        <f t="shared" si="1"/>
        <v>1868513.335842932</v>
      </c>
      <c r="J7" s="30">
        <f t="shared" si="1"/>
        <v>1924568.7359182201</v>
      </c>
      <c r="K7" s="30">
        <f t="shared" si="1"/>
        <v>1982305.7979957666</v>
      </c>
      <c r="L7" s="30">
        <f t="shared" si="1"/>
        <v>2041774.9719356399</v>
      </c>
      <c r="M7" s="30">
        <f t="shared" si="1"/>
        <v>2103028.221093709</v>
      </c>
      <c r="N7" s="31">
        <f>SUM(B7:M7)</f>
        <v>21561557.850692634</v>
      </c>
    </row>
    <row r="8" spans="1:14" ht="15">
      <c r="A8" s="122"/>
      <c r="B8" s="35"/>
      <c r="C8" s="35"/>
      <c r="D8" s="35"/>
      <c r="E8" s="35"/>
      <c r="F8" s="35"/>
      <c r="G8" s="35"/>
      <c r="H8" s="35"/>
      <c r="I8" s="35"/>
      <c r="J8" s="35"/>
      <c r="K8" s="35"/>
      <c r="L8" s="35"/>
      <c r="M8" s="35"/>
      <c r="N8" s="36"/>
    </row>
    <row r="9" spans="1:14" ht="15">
      <c r="A9" s="132" t="s">
        <v>56</v>
      </c>
      <c r="B9" s="21">
        <f>B5*$B$3</f>
        <v>1058886.77699188</v>
      </c>
      <c r="C9" s="21">
        <f aca="true" t="shared" si="2" ref="C9:M9">C5*$B$3</f>
        <v>1090653.3803016364</v>
      </c>
      <c r="D9" s="21">
        <f t="shared" si="2"/>
        <v>1123372.9817106854</v>
      </c>
      <c r="E9" s="21">
        <f t="shared" si="2"/>
        <v>1157074.1711620062</v>
      </c>
      <c r="F9" s="21">
        <f t="shared" si="2"/>
        <v>1191786.3962968665</v>
      </c>
      <c r="G9" s="21">
        <f t="shared" si="2"/>
        <v>1227539.9881857724</v>
      </c>
      <c r="H9" s="21">
        <f t="shared" si="2"/>
        <v>1264366.1878313455</v>
      </c>
      <c r="I9" s="21">
        <f t="shared" si="2"/>
        <v>1302297.173466286</v>
      </c>
      <c r="J9" s="21">
        <f t="shared" si="2"/>
        <v>1341366.0886702747</v>
      </c>
      <c r="K9" s="21">
        <f t="shared" si="2"/>
        <v>1381607.0713303827</v>
      </c>
      <c r="L9" s="21">
        <f t="shared" si="2"/>
        <v>1423055.2834702944</v>
      </c>
      <c r="M9" s="21">
        <f t="shared" si="2"/>
        <v>1465746.9419744033</v>
      </c>
      <c r="N9" s="31">
        <f>SUM(B9:M9)</f>
        <v>15027752.441391835</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0</v>
      </c>
      <c r="D11" s="138">
        <v>0</v>
      </c>
      <c r="E11" s="138">
        <v>0</v>
      </c>
      <c r="F11" s="138">
        <v>200000</v>
      </c>
      <c r="G11" s="138">
        <v>0</v>
      </c>
      <c r="H11" s="138">
        <v>0</v>
      </c>
      <c r="I11" s="138">
        <v>0</v>
      </c>
      <c r="J11" s="138">
        <v>0</v>
      </c>
      <c r="K11" s="138">
        <v>0</v>
      </c>
      <c r="L11" s="138">
        <v>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 aca="true" t="shared" si="3" ref="N13:N31">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18100</v>
      </c>
      <c r="C15" s="138">
        <v>18100</v>
      </c>
      <c r="D15" s="138">
        <v>18100</v>
      </c>
      <c r="E15" s="138">
        <v>18100</v>
      </c>
      <c r="F15" s="138">
        <v>18100</v>
      </c>
      <c r="G15" s="138">
        <v>18100</v>
      </c>
      <c r="H15" s="138">
        <v>18100</v>
      </c>
      <c r="I15" s="138">
        <v>18100</v>
      </c>
      <c r="J15" s="138">
        <v>22625</v>
      </c>
      <c r="K15" s="138">
        <v>22625</v>
      </c>
      <c r="L15" s="138">
        <v>22625</v>
      </c>
      <c r="M15" s="138">
        <v>22625</v>
      </c>
      <c r="N15" s="57">
        <f t="shared" si="3"/>
        <v>235300</v>
      </c>
    </row>
    <row r="16" spans="1:14" ht="15">
      <c r="A16" s="132" t="s">
        <v>190</v>
      </c>
      <c r="B16" s="138">
        <v>13575</v>
      </c>
      <c r="C16" s="138">
        <v>18100</v>
      </c>
      <c r="D16" s="138">
        <v>18100</v>
      </c>
      <c r="E16" s="138">
        <v>18100</v>
      </c>
      <c r="F16" s="138">
        <v>18100</v>
      </c>
      <c r="G16" s="138">
        <v>18100</v>
      </c>
      <c r="H16" s="138">
        <v>18100</v>
      </c>
      <c r="I16" s="138">
        <v>18100</v>
      </c>
      <c r="J16" s="138">
        <v>18100</v>
      </c>
      <c r="K16" s="138">
        <v>18100</v>
      </c>
      <c r="L16" s="138">
        <v>22625</v>
      </c>
      <c r="M16" s="138">
        <v>22625</v>
      </c>
      <c r="N16" s="57">
        <f t="shared" si="3"/>
        <v>221725</v>
      </c>
    </row>
    <row r="17" spans="1:14" ht="15">
      <c r="A17" s="132" t="s">
        <v>191</v>
      </c>
      <c r="B17" s="138">
        <v>13575</v>
      </c>
      <c r="C17" s="138">
        <v>13575</v>
      </c>
      <c r="D17" s="138">
        <v>13575</v>
      </c>
      <c r="E17" s="138">
        <v>13575</v>
      </c>
      <c r="F17" s="138">
        <v>18100</v>
      </c>
      <c r="G17" s="138">
        <v>18100</v>
      </c>
      <c r="H17" s="138">
        <v>18100</v>
      </c>
      <c r="I17" s="138">
        <v>18100</v>
      </c>
      <c r="J17" s="138">
        <v>18100</v>
      </c>
      <c r="K17" s="138">
        <v>18100</v>
      </c>
      <c r="L17" s="138">
        <v>18100</v>
      </c>
      <c r="M17" s="138">
        <v>18100</v>
      </c>
      <c r="N17" s="57">
        <f t="shared" si="3"/>
        <v>199100</v>
      </c>
    </row>
    <row r="18" spans="1:14" ht="15">
      <c r="A18" s="132" t="s">
        <v>192</v>
      </c>
      <c r="B18" s="138">
        <v>13575</v>
      </c>
      <c r="C18" s="138">
        <v>13575</v>
      </c>
      <c r="D18" s="138">
        <v>13575</v>
      </c>
      <c r="E18" s="138">
        <v>13575</v>
      </c>
      <c r="F18" s="138">
        <v>13575</v>
      </c>
      <c r="G18" s="138">
        <v>13575</v>
      </c>
      <c r="H18" s="138">
        <v>18100</v>
      </c>
      <c r="I18" s="138">
        <v>18100</v>
      </c>
      <c r="J18" s="138">
        <v>18100</v>
      </c>
      <c r="K18" s="138">
        <v>18100</v>
      </c>
      <c r="L18" s="138">
        <v>18100</v>
      </c>
      <c r="M18" s="138">
        <v>18100</v>
      </c>
      <c r="N18" s="57">
        <f>SUM(B18:M18)</f>
        <v>190050</v>
      </c>
    </row>
    <row r="19" spans="1:14" ht="15">
      <c r="A19" s="132" t="s">
        <v>194</v>
      </c>
      <c r="B19" s="144">
        <v>8800</v>
      </c>
      <c r="C19" s="144">
        <v>8800</v>
      </c>
      <c r="D19" s="144">
        <v>8800</v>
      </c>
      <c r="E19" s="144">
        <v>8800</v>
      </c>
      <c r="F19" s="144">
        <v>8800</v>
      </c>
      <c r="G19" s="144">
        <v>8800</v>
      </c>
      <c r="H19" s="144">
        <v>8800</v>
      </c>
      <c r="I19" s="144">
        <v>8800</v>
      </c>
      <c r="J19" s="144">
        <v>8800</v>
      </c>
      <c r="K19" s="144">
        <v>8800</v>
      </c>
      <c r="L19" s="144">
        <v>8800</v>
      </c>
      <c r="M19" s="144">
        <v>8800</v>
      </c>
      <c r="N19" s="57">
        <f>SUM(B19:M19)</f>
        <v>105600</v>
      </c>
    </row>
    <row r="20" spans="1:14" ht="15">
      <c r="A20" s="132" t="s">
        <v>193</v>
      </c>
      <c r="B20" s="144">
        <v>8800</v>
      </c>
      <c r="C20" s="144">
        <v>8800</v>
      </c>
      <c r="D20" s="144">
        <v>8800</v>
      </c>
      <c r="E20" s="144">
        <v>8800</v>
      </c>
      <c r="F20" s="144">
        <v>8800</v>
      </c>
      <c r="G20" s="144">
        <v>8800</v>
      </c>
      <c r="H20" s="144">
        <v>8800</v>
      </c>
      <c r="I20" s="144">
        <v>8800</v>
      </c>
      <c r="J20" s="144">
        <v>8800</v>
      </c>
      <c r="K20" s="144">
        <v>8800</v>
      </c>
      <c r="L20" s="144">
        <v>8800</v>
      </c>
      <c r="M20" s="144">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1537.768</v>
      </c>
      <c r="C27" s="138">
        <f aca="true" t="shared" si="4" ref="C27:M27">(C4*300*30*0.007469)*2+1000</f>
        <v>1537.768</v>
      </c>
      <c r="D27" s="138">
        <f t="shared" si="4"/>
        <v>1537.768</v>
      </c>
      <c r="E27" s="138">
        <f t="shared" si="4"/>
        <v>1537.768</v>
      </c>
      <c r="F27" s="138">
        <f t="shared" si="4"/>
        <v>1537.768</v>
      </c>
      <c r="G27" s="138">
        <f t="shared" si="4"/>
        <v>1537.768</v>
      </c>
      <c r="H27" s="138">
        <f t="shared" si="4"/>
        <v>1537.768</v>
      </c>
      <c r="I27" s="138">
        <f t="shared" si="4"/>
        <v>1537.768</v>
      </c>
      <c r="J27" s="138">
        <f t="shared" si="4"/>
        <v>1672.21</v>
      </c>
      <c r="K27" s="138">
        <f t="shared" si="4"/>
        <v>1672.21</v>
      </c>
      <c r="L27" s="138">
        <f t="shared" si="4"/>
        <v>1672.21</v>
      </c>
      <c r="M27" s="138">
        <f t="shared" si="4"/>
        <v>1672.21</v>
      </c>
      <c r="N27" s="57">
        <f t="shared" si="3"/>
        <v>18990.983999999997</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f>6500+2*(B5/2)</f>
        <v>14173.092586897681</v>
      </c>
      <c r="C31" s="138">
        <f aca="true" t="shared" si="5" ref="C31:M31">6500+2*(C5/2)</f>
        <v>14403.285364504613</v>
      </c>
      <c r="D31" s="138">
        <f t="shared" si="5"/>
        <v>14640.38392543975</v>
      </c>
      <c r="E31" s="138">
        <f t="shared" si="5"/>
        <v>14884.595443202943</v>
      </c>
      <c r="F31" s="138">
        <f t="shared" si="5"/>
        <v>15136.133306499032</v>
      </c>
      <c r="G31" s="138">
        <f t="shared" si="5"/>
        <v>15395.217305694003</v>
      </c>
      <c r="H31" s="138">
        <f t="shared" si="5"/>
        <v>15662.073824864823</v>
      </c>
      <c r="I31" s="138">
        <f t="shared" si="5"/>
        <v>15936.936039610768</v>
      </c>
      <c r="J31" s="138">
        <f t="shared" si="5"/>
        <v>16220.044120799092</v>
      </c>
      <c r="K31" s="138">
        <f t="shared" si="5"/>
        <v>16511.645444423062</v>
      </c>
      <c r="L31" s="138">
        <f t="shared" si="5"/>
        <v>16811.994807755756</v>
      </c>
      <c r="M31" s="138">
        <f t="shared" si="5"/>
        <v>17121.35465198843</v>
      </c>
      <c r="N31" s="57">
        <f t="shared" si="3"/>
        <v>186896.75682167994</v>
      </c>
    </row>
    <row r="32" spans="1:14" ht="15">
      <c r="A32" s="133" t="s">
        <v>59</v>
      </c>
      <c r="B32" s="138">
        <f aca="true" t="shared" si="6" ref="B32:M32">3400+1*(B4/2)</f>
        <v>3402</v>
      </c>
      <c r="C32" s="138">
        <f t="shared" si="6"/>
        <v>3402</v>
      </c>
      <c r="D32" s="138">
        <f t="shared" si="6"/>
        <v>3402</v>
      </c>
      <c r="E32" s="138">
        <f t="shared" si="6"/>
        <v>3402</v>
      </c>
      <c r="F32" s="138">
        <f t="shared" si="6"/>
        <v>3402</v>
      </c>
      <c r="G32" s="138">
        <f t="shared" si="6"/>
        <v>3402</v>
      </c>
      <c r="H32" s="138">
        <f t="shared" si="6"/>
        <v>3402</v>
      </c>
      <c r="I32" s="138">
        <f t="shared" si="6"/>
        <v>3402</v>
      </c>
      <c r="J32" s="138">
        <f t="shared" si="6"/>
        <v>3402.5</v>
      </c>
      <c r="K32" s="138">
        <f t="shared" si="6"/>
        <v>3402.5</v>
      </c>
      <c r="L32" s="138">
        <f t="shared" si="6"/>
        <v>3402.5</v>
      </c>
      <c r="M32" s="138">
        <f t="shared" si="6"/>
        <v>3402.5</v>
      </c>
      <c r="N32" s="31">
        <f>SUM(B32:M32)</f>
        <v>40826</v>
      </c>
    </row>
    <row r="33" spans="1:14" ht="15.75" thickBot="1">
      <c r="A33" s="133" t="s">
        <v>58</v>
      </c>
      <c r="B33" s="138">
        <f aca="true" t="shared" si="7" ref="B33:M33">3400+1*(B5/2)</f>
        <v>7236.5462934488405</v>
      </c>
      <c r="C33" s="138">
        <f t="shared" si="7"/>
        <v>7351.642682252306</v>
      </c>
      <c r="D33" s="138">
        <f t="shared" si="7"/>
        <v>7470.191962719875</v>
      </c>
      <c r="E33" s="138">
        <f t="shared" si="7"/>
        <v>7592.2977216014715</v>
      </c>
      <c r="F33" s="138">
        <f t="shared" si="7"/>
        <v>7718.066653249516</v>
      </c>
      <c r="G33" s="138">
        <f t="shared" si="7"/>
        <v>7847.608652847001</v>
      </c>
      <c r="H33" s="138">
        <f t="shared" si="7"/>
        <v>7981.036912432412</v>
      </c>
      <c r="I33" s="138">
        <f t="shared" si="7"/>
        <v>8118.468019805384</v>
      </c>
      <c r="J33" s="138">
        <f t="shared" si="7"/>
        <v>8260.022060399546</v>
      </c>
      <c r="K33" s="138">
        <f t="shared" si="7"/>
        <v>8405.822722211531</v>
      </c>
      <c r="L33" s="138">
        <f t="shared" si="7"/>
        <v>8555.997403877878</v>
      </c>
      <c r="M33" s="138">
        <f t="shared" si="7"/>
        <v>8710.677325994215</v>
      </c>
      <c r="N33" s="34">
        <f>SUM(B33:M33)</f>
        <v>95248.37841083997</v>
      </c>
    </row>
    <row r="34" spans="1:14" ht="15.75" thickBot="1">
      <c r="A34" s="134" t="s">
        <v>94</v>
      </c>
      <c r="B34" s="22">
        <f aca="true" t="shared" si="8" ref="B34:M34">B7-SUM(B9:B33)</f>
        <v>238944.1483335141</v>
      </c>
      <c r="C34" s="22">
        <f t="shared" si="8"/>
        <v>247885.42582351994</v>
      </c>
      <c r="D34" s="22">
        <f t="shared" si="8"/>
        <v>261755.69163822546</v>
      </c>
      <c r="E34" s="22">
        <f t="shared" si="8"/>
        <v>276042.06542737223</v>
      </c>
      <c r="F34" s="22">
        <f t="shared" si="8"/>
        <v>86232.03043019329</v>
      </c>
      <c r="G34" s="22">
        <f t="shared" si="8"/>
        <v>301388.4443830992</v>
      </c>
      <c r="H34" s="22">
        <f t="shared" si="8"/>
        <v>312474.5507545923</v>
      </c>
      <c r="I34" s="22">
        <f t="shared" si="8"/>
        <v>328553.9903172301</v>
      </c>
      <c r="J34" s="22">
        <f t="shared" si="8"/>
        <v>340455.87106674677</v>
      </c>
      <c r="K34" s="22">
        <f t="shared" si="8"/>
        <v>357514.5484987495</v>
      </c>
      <c r="L34" s="22">
        <f t="shared" si="8"/>
        <v>370559.98625371186</v>
      </c>
      <c r="M34" s="22">
        <f t="shared" si="8"/>
        <v>388657.5371413231</v>
      </c>
      <c r="N34" s="23">
        <f>SUM(B34:M34)</f>
        <v>3510464.2900682776</v>
      </c>
    </row>
    <row r="37" spans="1:14" ht="15">
      <c r="A37" s="173" t="s">
        <v>213</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3" spans="1:14" ht="15">
      <c r="A43" s="173"/>
      <c r="B43" s="173"/>
      <c r="C43" s="173"/>
      <c r="D43" s="173"/>
      <c r="E43" s="173"/>
      <c r="F43" s="173"/>
      <c r="G43" s="173"/>
      <c r="H43" s="173"/>
      <c r="I43" s="173"/>
      <c r="J43" s="173"/>
      <c r="K43" s="173"/>
      <c r="L43" s="173"/>
      <c r="M43" s="173"/>
      <c r="N43" s="173"/>
    </row>
    <row r="45" spans="2:7" ht="15">
      <c r="B45" s="174" t="s">
        <v>208</v>
      </c>
      <c r="C45" s="174"/>
      <c r="D45" s="174"/>
      <c r="E45" s="174"/>
      <c r="F45" s="174"/>
      <c r="G45" s="174"/>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23.xml><?xml version="1.0" encoding="utf-8"?>
<worksheet xmlns="http://schemas.openxmlformats.org/spreadsheetml/2006/main" xmlns:r="http://schemas.openxmlformats.org/officeDocument/2006/relationships">
  <dimension ref="A1:G43"/>
  <sheetViews>
    <sheetView zoomScalePageLayoutView="0" workbookViewId="0" topLeftCell="A19">
      <selection activeCell="E39" sqref="E39"/>
    </sheetView>
  </sheetViews>
  <sheetFormatPr defaultColWidth="9.140625" defaultRowHeight="15"/>
  <cols>
    <col min="1" max="1" width="24.8515625" style="0" customWidth="1"/>
    <col min="2" max="2" width="13.421875" style="0" customWidth="1"/>
    <col min="3" max="3" width="11.421875" style="0" customWidth="1"/>
    <col min="4" max="4" width="17.57421875" style="0" customWidth="1"/>
    <col min="5" max="5" width="11.140625" style="0" bestFit="1" customWidth="1"/>
  </cols>
  <sheetData>
    <row r="1" spans="1:5" ht="15">
      <c r="A1" s="6" t="s">
        <v>6</v>
      </c>
      <c r="B1" s="14" t="s">
        <v>9</v>
      </c>
      <c r="C1" s="14" t="s">
        <v>12</v>
      </c>
      <c r="D1" s="14" t="s">
        <v>10</v>
      </c>
      <c r="E1" s="20" t="s">
        <v>53</v>
      </c>
    </row>
    <row r="2" spans="1:7" ht="15">
      <c r="A2" s="5" t="s">
        <v>38</v>
      </c>
      <c r="B2" s="7">
        <v>20000</v>
      </c>
      <c r="C2" s="9">
        <v>3</v>
      </c>
      <c r="D2" s="8">
        <f>B2*C2</f>
        <v>60000</v>
      </c>
      <c r="E2" s="17">
        <f>D2/12</f>
        <v>5000</v>
      </c>
      <c r="G2">
        <f>(300/7*8)/12</f>
        <v>28.57142857142857</v>
      </c>
    </row>
    <row r="3" spans="1:5" ht="15">
      <c r="A3" s="5" t="s">
        <v>39</v>
      </c>
      <c r="B3" s="7">
        <v>500000</v>
      </c>
      <c r="C3" s="9">
        <v>1</v>
      </c>
      <c r="D3" s="8">
        <f aca="true" t="shared" si="0" ref="D3:D28">B3*C3</f>
        <v>500000</v>
      </c>
      <c r="E3" s="17">
        <f aca="true" t="shared" si="1" ref="E3:E29">D3/12</f>
        <v>41666.666666666664</v>
      </c>
    </row>
    <row r="4" spans="1:5" ht="15">
      <c r="A4" s="5" t="s">
        <v>47</v>
      </c>
      <c r="B4" s="7">
        <v>500000</v>
      </c>
      <c r="C4" s="9">
        <v>1</v>
      </c>
      <c r="D4" s="8">
        <f t="shared" si="0"/>
        <v>500000</v>
      </c>
      <c r="E4" s="17">
        <f t="shared" si="1"/>
        <v>41666.666666666664</v>
      </c>
    </row>
    <row r="5" spans="1:5" ht="15">
      <c r="A5" s="5" t="s">
        <v>44</v>
      </c>
      <c r="B5" s="7">
        <v>20000</v>
      </c>
      <c r="C5" s="9">
        <v>1</v>
      </c>
      <c r="D5" s="8">
        <f>B5*C5</f>
        <v>20000</v>
      </c>
      <c r="E5" s="17">
        <f t="shared" si="1"/>
        <v>1666.6666666666667</v>
      </c>
    </row>
    <row r="6" spans="1:5" ht="15">
      <c r="A6" s="5" t="s">
        <v>40</v>
      </c>
      <c r="B6" s="7">
        <v>13</v>
      </c>
      <c r="C6" s="9">
        <v>2080</v>
      </c>
      <c r="D6" s="8">
        <f t="shared" si="0"/>
        <v>27040</v>
      </c>
      <c r="E6" s="17">
        <f t="shared" si="1"/>
        <v>2253.3333333333335</v>
      </c>
    </row>
    <row r="7" spans="1:5" ht="15">
      <c r="A7" s="5" t="s">
        <v>41</v>
      </c>
      <c r="B7" s="7">
        <v>13</v>
      </c>
      <c r="C7" s="9">
        <v>2080</v>
      </c>
      <c r="D7" s="8">
        <f t="shared" si="0"/>
        <v>27040</v>
      </c>
      <c r="E7" s="17">
        <f t="shared" si="1"/>
        <v>2253.3333333333335</v>
      </c>
    </row>
    <row r="8" spans="1:5" ht="15">
      <c r="A8" s="5" t="s">
        <v>42</v>
      </c>
      <c r="B8" s="7">
        <v>13</v>
      </c>
      <c r="C8" s="9">
        <v>2080</v>
      </c>
      <c r="D8" s="8">
        <f t="shared" si="0"/>
        <v>27040</v>
      </c>
      <c r="E8" s="17">
        <f t="shared" si="1"/>
        <v>2253.3333333333335</v>
      </c>
    </row>
    <row r="9" spans="1:5" ht="15">
      <c r="A9" s="5" t="s">
        <v>60</v>
      </c>
      <c r="B9" s="7">
        <v>13</v>
      </c>
      <c r="C9" s="9">
        <v>2080</v>
      </c>
      <c r="D9" s="8">
        <f>B9*C9</f>
        <v>27040</v>
      </c>
      <c r="E9" s="17">
        <f>D9/12</f>
        <v>2253.3333333333335</v>
      </c>
    </row>
    <row r="10" spans="1:5" ht="15">
      <c r="A10" s="5" t="s">
        <v>65</v>
      </c>
      <c r="B10" s="7">
        <v>65000</v>
      </c>
      <c r="C10" s="9">
        <v>1</v>
      </c>
      <c r="D10" s="8">
        <f t="shared" si="0"/>
        <v>65000</v>
      </c>
      <c r="E10" s="17">
        <f t="shared" si="1"/>
        <v>5416.666666666667</v>
      </c>
    </row>
    <row r="11" spans="1:5" ht="15">
      <c r="A11" s="5" t="s">
        <v>97</v>
      </c>
      <c r="B11" s="7">
        <v>45500</v>
      </c>
      <c r="C11" s="9">
        <v>1</v>
      </c>
      <c r="D11" s="8">
        <f>B11*C11</f>
        <v>45500</v>
      </c>
      <c r="E11" s="17">
        <f>D11/12</f>
        <v>3791.6666666666665</v>
      </c>
    </row>
    <row r="12" spans="1:5" ht="15">
      <c r="A12" s="5" t="s">
        <v>66</v>
      </c>
      <c r="B12" s="7">
        <v>132000</v>
      </c>
      <c r="C12" s="9">
        <v>1</v>
      </c>
      <c r="D12" s="8">
        <f>B12*C12</f>
        <v>132000</v>
      </c>
      <c r="E12" s="17">
        <f t="shared" si="1"/>
        <v>11000</v>
      </c>
    </row>
    <row r="13" spans="1:5" ht="15">
      <c r="A13" s="5" t="s">
        <v>67</v>
      </c>
      <c r="B13" s="7">
        <v>132000</v>
      </c>
      <c r="C13" s="9">
        <v>1</v>
      </c>
      <c r="D13" s="8">
        <f>B13*C13</f>
        <v>132000</v>
      </c>
      <c r="E13" s="17">
        <f t="shared" si="1"/>
        <v>11000</v>
      </c>
    </row>
    <row r="14" spans="1:5" ht="15">
      <c r="A14" s="5" t="s">
        <v>43</v>
      </c>
      <c r="B14" s="7">
        <v>120000</v>
      </c>
      <c r="C14" s="9">
        <v>1</v>
      </c>
      <c r="D14" s="8">
        <f t="shared" si="0"/>
        <v>120000</v>
      </c>
      <c r="E14" s="17">
        <f t="shared" si="1"/>
        <v>10000</v>
      </c>
    </row>
    <row r="15" spans="1:5" ht="15">
      <c r="A15" s="5" t="s">
        <v>52</v>
      </c>
      <c r="B15" s="7">
        <v>240000</v>
      </c>
      <c r="C15" s="9">
        <v>1</v>
      </c>
      <c r="D15" s="8">
        <f t="shared" si="0"/>
        <v>240000</v>
      </c>
      <c r="E15" s="17">
        <f t="shared" si="1"/>
        <v>20000</v>
      </c>
    </row>
    <row r="16" spans="1:5" ht="15">
      <c r="A16" s="5" t="s">
        <v>45</v>
      </c>
      <c r="B16" s="7">
        <v>6000</v>
      </c>
      <c r="C16" s="9">
        <v>12</v>
      </c>
      <c r="D16" s="8">
        <f t="shared" si="0"/>
        <v>72000</v>
      </c>
      <c r="E16" s="17">
        <f t="shared" si="1"/>
        <v>6000</v>
      </c>
    </row>
    <row r="17" spans="1:5" ht="15">
      <c r="A17" s="5" t="s">
        <v>46</v>
      </c>
      <c r="B17" s="7">
        <v>4000</v>
      </c>
      <c r="C17" s="9">
        <v>12</v>
      </c>
      <c r="D17" s="8">
        <f t="shared" si="0"/>
        <v>48000</v>
      </c>
      <c r="E17" s="17">
        <f t="shared" si="1"/>
        <v>4000</v>
      </c>
    </row>
    <row r="18" spans="1:5" ht="15">
      <c r="A18" s="5" t="s">
        <v>48</v>
      </c>
      <c r="B18" s="7">
        <v>300000</v>
      </c>
      <c r="C18" s="9">
        <v>1</v>
      </c>
      <c r="D18" s="8">
        <f t="shared" si="0"/>
        <v>300000</v>
      </c>
      <c r="E18" s="17">
        <f t="shared" si="1"/>
        <v>25000</v>
      </c>
    </row>
    <row r="19" spans="1:5" ht="15">
      <c r="A19" s="5" t="s">
        <v>49</v>
      </c>
      <c r="B19" s="7">
        <v>1500</v>
      </c>
      <c r="C19" s="9">
        <v>12</v>
      </c>
      <c r="D19" s="8">
        <f t="shared" si="0"/>
        <v>18000</v>
      </c>
      <c r="E19" s="17">
        <f t="shared" si="1"/>
        <v>1500</v>
      </c>
    </row>
    <row r="20" spans="1:5" ht="15">
      <c r="A20" s="5" t="s">
        <v>50</v>
      </c>
      <c r="B20" s="7">
        <v>1000</v>
      </c>
      <c r="C20" s="9">
        <v>12</v>
      </c>
      <c r="D20" s="8">
        <f t="shared" si="0"/>
        <v>12000</v>
      </c>
      <c r="E20" s="17">
        <f t="shared" si="1"/>
        <v>1000</v>
      </c>
    </row>
    <row r="21" spans="1:5" ht="15">
      <c r="A21" s="5" t="s">
        <v>51</v>
      </c>
      <c r="B21" s="7">
        <v>60000</v>
      </c>
      <c r="C21" s="9">
        <v>12</v>
      </c>
      <c r="D21" s="8">
        <f t="shared" si="0"/>
        <v>720000</v>
      </c>
      <c r="E21" s="17">
        <f t="shared" si="1"/>
        <v>60000</v>
      </c>
    </row>
    <row r="22" spans="1:5" ht="15">
      <c r="A22" s="5" t="s">
        <v>61</v>
      </c>
      <c r="B22" s="7">
        <v>2500</v>
      </c>
      <c r="C22" s="9">
        <v>12</v>
      </c>
      <c r="D22" s="8">
        <f t="shared" si="0"/>
        <v>30000</v>
      </c>
      <c r="E22" s="17">
        <f t="shared" si="1"/>
        <v>2500</v>
      </c>
    </row>
    <row r="23" spans="1:5" ht="15">
      <c r="A23" s="5"/>
      <c r="B23" s="7"/>
      <c r="C23" s="9"/>
      <c r="D23" s="8">
        <f t="shared" si="0"/>
        <v>0</v>
      </c>
      <c r="E23" s="17">
        <f t="shared" si="1"/>
        <v>0</v>
      </c>
    </row>
    <row r="24" spans="1:5" ht="15">
      <c r="A24" s="5"/>
      <c r="B24" s="7"/>
      <c r="C24" s="9"/>
      <c r="D24" s="8">
        <f t="shared" si="0"/>
        <v>0</v>
      </c>
      <c r="E24" s="17">
        <f t="shared" si="1"/>
        <v>0</v>
      </c>
    </row>
    <row r="25" spans="1:5" ht="15">
      <c r="A25" s="5"/>
      <c r="B25" s="7"/>
      <c r="C25" s="9"/>
      <c r="D25" s="8">
        <f t="shared" si="0"/>
        <v>0</v>
      </c>
      <c r="E25" s="17">
        <f t="shared" si="1"/>
        <v>0</v>
      </c>
    </row>
    <row r="26" spans="1:5" ht="15">
      <c r="A26" s="5"/>
      <c r="B26" s="7"/>
      <c r="C26" s="9"/>
      <c r="D26" s="8">
        <f t="shared" si="0"/>
        <v>0</v>
      </c>
      <c r="E26" s="17">
        <f t="shared" si="1"/>
        <v>0</v>
      </c>
    </row>
    <row r="27" spans="1:5" ht="15">
      <c r="A27" s="5"/>
      <c r="B27" s="7"/>
      <c r="C27" s="9"/>
      <c r="D27" s="8">
        <f t="shared" si="0"/>
        <v>0</v>
      </c>
      <c r="E27" s="17">
        <f t="shared" si="1"/>
        <v>0</v>
      </c>
    </row>
    <row r="28" spans="1:5" ht="15">
      <c r="A28" s="5"/>
      <c r="B28" s="7"/>
      <c r="C28" s="9"/>
      <c r="D28" s="8">
        <f t="shared" si="0"/>
        <v>0</v>
      </c>
      <c r="E28" s="17">
        <f t="shared" si="1"/>
        <v>0</v>
      </c>
    </row>
    <row r="29" spans="1:5" ht="15">
      <c r="A29" s="5" t="s">
        <v>14</v>
      </c>
      <c r="B29" s="7"/>
      <c r="C29" s="9"/>
      <c r="D29" s="8">
        <f>SUM(D2:D28)</f>
        <v>3122660</v>
      </c>
      <c r="E29" s="17">
        <f t="shared" si="1"/>
        <v>260221.66666666666</v>
      </c>
    </row>
    <row r="32" spans="1:2" ht="15">
      <c r="A32" t="s">
        <v>183</v>
      </c>
      <c r="B32" s="1">
        <v>5000</v>
      </c>
    </row>
    <row r="33" ht="15.75" thickBot="1">
      <c r="B33" s="1"/>
    </row>
    <row r="34" spans="1:2" ht="15.75" thickBot="1">
      <c r="A34" s="99" t="s">
        <v>48</v>
      </c>
      <c r="B34" s="98"/>
    </row>
    <row r="35" spans="1:2" ht="15">
      <c r="A35" s="41" t="s">
        <v>176</v>
      </c>
      <c r="B35" s="57">
        <v>300</v>
      </c>
    </row>
    <row r="36" spans="1:2" ht="15">
      <c r="A36" s="38" t="s">
        <v>184</v>
      </c>
      <c r="B36" s="57">
        <v>250</v>
      </c>
    </row>
    <row r="37" spans="1:2" ht="15">
      <c r="A37" s="38" t="s">
        <v>179</v>
      </c>
      <c r="B37" s="57">
        <v>2500</v>
      </c>
    </row>
    <row r="38" spans="1:2" ht="15">
      <c r="A38" s="38" t="s">
        <v>177</v>
      </c>
      <c r="B38" s="57">
        <v>300</v>
      </c>
    </row>
    <row r="39" spans="1:2" ht="15">
      <c r="A39" s="38" t="s">
        <v>178</v>
      </c>
      <c r="B39" s="57">
        <v>150</v>
      </c>
    </row>
    <row r="40" spans="1:2" ht="15">
      <c r="A40" s="38" t="s">
        <v>180</v>
      </c>
      <c r="B40" s="57">
        <v>500</v>
      </c>
    </row>
    <row r="41" spans="1:2" ht="15">
      <c r="A41" s="38" t="s">
        <v>182</v>
      </c>
      <c r="B41" s="57">
        <v>500</v>
      </c>
    </row>
    <row r="42" spans="1:2" ht="15">
      <c r="A42" s="38" t="s">
        <v>181</v>
      </c>
      <c r="B42" s="57">
        <v>500</v>
      </c>
    </row>
    <row r="43" spans="1:2" ht="15.75" thickBot="1">
      <c r="A43" s="39"/>
      <c r="B43" s="40">
        <f>SUM(B35:B42)</f>
        <v>5000</v>
      </c>
    </row>
  </sheetData>
  <sheetProtection/>
  <printOp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dimension ref="A1:P37"/>
  <sheetViews>
    <sheetView zoomScale="70" zoomScaleNormal="70" zoomScalePageLayoutView="0" workbookViewId="0" topLeftCell="A1">
      <selection activeCell="F24" sqref="F24"/>
    </sheetView>
  </sheetViews>
  <sheetFormatPr defaultColWidth="9.140625" defaultRowHeight="15"/>
  <cols>
    <col min="1" max="1" width="22.140625" style="0" customWidth="1"/>
    <col min="2" max="2" width="15.00390625" style="0" customWidth="1"/>
    <col min="4" max="4" width="16.7109375" style="0" customWidth="1"/>
    <col min="5" max="6" width="15.28125" style="0" bestFit="1" customWidth="1"/>
    <col min="8" max="8" width="15.140625" style="0" customWidth="1"/>
    <col min="11" max="11" width="23.57421875" style="0" customWidth="1"/>
    <col min="12" max="12" width="43.140625" style="0" customWidth="1"/>
  </cols>
  <sheetData>
    <row r="1" spans="1:15" ht="24" thickBot="1">
      <c r="A1" s="58" t="s">
        <v>20</v>
      </c>
      <c r="B1" s="59" t="s">
        <v>21</v>
      </c>
      <c r="K1" s="181" t="s">
        <v>113</v>
      </c>
      <c r="L1" s="182"/>
      <c r="M1" s="182"/>
      <c r="N1" s="182"/>
      <c r="O1" s="183"/>
    </row>
    <row r="2" spans="1:15" ht="30">
      <c r="A2" s="70">
        <v>7</v>
      </c>
      <c r="B2" s="71">
        <f>A2/3.5</f>
        <v>2</v>
      </c>
      <c r="D2" s="56"/>
      <c r="E2" s="27" t="s">
        <v>5</v>
      </c>
      <c r="K2" s="84" t="s">
        <v>114</v>
      </c>
      <c r="L2" s="84" t="s">
        <v>115</v>
      </c>
      <c r="M2" s="84" t="s">
        <v>116</v>
      </c>
      <c r="N2" s="84" t="s">
        <v>117</v>
      </c>
      <c r="O2" s="84" t="s">
        <v>118</v>
      </c>
    </row>
    <row r="3" spans="1:15" ht="15">
      <c r="A3" s="68" t="s">
        <v>2</v>
      </c>
      <c r="B3" s="69" t="s">
        <v>3</v>
      </c>
      <c r="D3" s="38"/>
      <c r="E3" s="26" t="s">
        <v>88</v>
      </c>
      <c r="H3" t="s">
        <v>7</v>
      </c>
      <c r="K3" s="86" t="s">
        <v>119</v>
      </c>
      <c r="L3" s="85" t="s">
        <v>120</v>
      </c>
      <c r="M3" s="87">
        <v>600</v>
      </c>
      <c r="N3" s="87">
        <v>3</v>
      </c>
      <c r="O3" s="88">
        <v>2490</v>
      </c>
    </row>
    <row r="4" spans="1:15" ht="30">
      <c r="A4" s="38" t="s">
        <v>0</v>
      </c>
      <c r="B4" s="60">
        <v>72</v>
      </c>
      <c r="D4" s="38" t="s">
        <v>87</v>
      </c>
      <c r="E4" s="77">
        <f>B9</f>
        <v>4.128719276285844</v>
      </c>
      <c r="H4" t="s">
        <v>93</v>
      </c>
      <c r="I4">
        <v>5000</v>
      </c>
      <c r="K4" s="86" t="s">
        <v>121</v>
      </c>
      <c r="L4" s="85" t="s">
        <v>122</v>
      </c>
      <c r="M4" s="87">
        <v>600</v>
      </c>
      <c r="N4" s="87">
        <v>3</v>
      </c>
      <c r="O4" s="88">
        <v>3940</v>
      </c>
    </row>
    <row r="5" spans="1:15" ht="30.75" thickBot="1">
      <c r="A5" s="39" t="s">
        <v>4</v>
      </c>
      <c r="B5" s="61">
        <v>10</v>
      </c>
      <c r="D5" s="38" t="s">
        <v>1</v>
      </c>
      <c r="E5" s="77">
        <v>4</v>
      </c>
      <c r="H5" t="s">
        <v>8</v>
      </c>
      <c r="I5">
        <v>20000</v>
      </c>
      <c r="K5" s="86" t="s">
        <v>123</v>
      </c>
      <c r="L5" s="85" t="s">
        <v>124</v>
      </c>
      <c r="M5" s="87">
        <v>600</v>
      </c>
      <c r="N5" s="87">
        <v>3</v>
      </c>
      <c r="O5" s="88">
        <v>9260</v>
      </c>
    </row>
    <row r="6" spans="2:15" ht="15.75" thickBot="1">
      <c r="B6" s="29"/>
      <c r="D6" s="38" t="s">
        <v>30</v>
      </c>
      <c r="E6" s="78">
        <f>B10/12</f>
        <v>0.35833333333333334</v>
      </c>
      <c r="I6">
        <f>SUM(I4:I5)</f>
        <v>25000</v>
      </c>
      <c r="K6" s="184" t="s">
        <v>125</v>
      </c>
      <c r="L6" s="186" t="s">
        <v>126</v>
      </c>
      <c r="M6" s="89" t="s">
        <v>127</v>
      </c>
      <c r="N6" s="188">
        <v>3</v>
      </c>
      <c r="O6" s="190">
        <v>14570</v>
      </c>
    </row>
    <row r="7" spans="1:15" ht="15">
      <c r="A7" s="58" t="s">
        <v>2</v>
      </c>
      <c r="B7" s="63" t="s">
        <v>15</v>
      </c>
      <c r="D7" s="38" t="s">
        <v>95</v>
      </c>
      <c r="E7" s="77">
        <v>0.35</v>
      </c>
      <c r="K7" s="185"/>
      <c r="L7" s="187"/>
      <c r="M7" s="90" t="s">
        <v>128</v>
      </c>
      <c r="N7" s="189"/>
      <c r="O7" s="191"/>
    </row>
    <row r="8" spans="1:15" ht="15">
      <c r="A8" s="38" t="s">
        <v>28</v>
      </c>
      <c r="B8" s="57">
        <f>'Cost Per Batch'!D11</f>
        <v>33.029754210286754</v>
      </c>
      <c r="D8" s="38" t="s">
        <v>37</v>
      </c>
      <c r="E8" s="77">
        <v>0.75</v>
      </c>
      <c r="K8" s="86" t="s">
        <v>129</v>
      </c>
      <c r="L8" s="85" t="s">
        <v>130</v>
      </c>
      <c r="M8" s="87">
        <v>1000</v>
      </c>
      <c r="N8" s="87">
        <v>3</v>
      </c>
      <c r="O8" s="88">
        <v>7940</v>
      </c>
    </row>
    <row r="9" spans="1:15" ht="30">
      <c r="A9" s="38" t="s">
        <v>26</v>
      </c>
      <c r="B9" s="65">
        <f>B8/8</f>
        <v>4.128719276285844</v>
      </c>
      <c r="D9" s="38" t="s">
        <v>91</v>
      </c>
      <c r="E9" s="77">
        <f>SUM(E4:E8)</f>
        <v>9.587052609619176</v>
      </c>
      <c r="K9" s="86" t="s">
        <v>131</v>
      </c>
      <c r="L9" s="85" t="s">
        <v>132</v>
      </c>
      <c r="M9" s="87">
        <v>1000</v>
      </c>
      <c r="N9" s="87">
        <v>3</v>
      </c>
      <c r="O9" s="88">
        <v>10870</v>
      </c>
    </row>
    <row r="10" spans="1:15" ht="30.75" thickBot="1">
      <c r="A10" s="106" t="s">
        <v>29</v>
      </c>
      <c r="B10" s="107">
        <v>4.3</v>
      </c>
      <c r="D10" s="79" t="s">
        <v>187</v>
      </c>
      <c r="E10" s="80">
        <f>E9*0.2</f>
        <v>1.9174105219238353</v>
      </c>
      <c r="K10" s="86" t="s">
        <v>133</v>
      </c>
      <c r="L10" s="85" t="s">
        <v>134</v>
      </c>
      <c r="M10" s="87">
        <v>1000</v>
      </c>
      <c r="N10" s="87">
        <v>3</v>
      </c>
      <c r="O10" s="88">
        <v>15390</v>
      </c>
    </row>
    <row r="11" spans="1:15" ht="31.5" thickBot="1" thickTop="1">
      <c r="A11" s="38" t="s">
        <v>95</v>
      </c>
      <c r="B11" s="57">
        <v>0.35</v>
      </c>
      <c r="D11" s="81" t="s">
        <v>92</v>
      </c>
      <c r="E11" s="82">
        <f>SUM(E9:E10)</f>
        <v>11.504463131543012</v>
      </c>
      <c r="F11" t="s">
        <v>31</v>
      </c>
      <c r="G11" s="2">
        <f>E12-E11</f>
        <v>4.995536868456988</v>
      </c>
      <c r="H11" s="19">
        <f>G11/E11</f>
        <v>0.43422598789162026</v>
      </c>
      <c r="K11" s="86" t="s">
        <v>135</v>
      </c>
      <c r="L11" s="85" t="s">
        <v>136</v>
      </c>
      <c r="M11" s="87">
        <v>1200</v>
      </c>
      <c r="N11" s="87">
        <v>3</v>
      </c>
      <c r="O11" s="88">
        <v>31430</v>
      </c>
    </row>
    <row r="12" spans="1:15" ht="30.75" thickBot="1">
      <c r="A12" s="108" t="s">
        <v>37</v>
      </c>
      <c r="B12" s="109">
        <v>0.75</v>
      </c>
      <c r="D12" t="s">
        <v>89</v>
      </c>
      <c r="E12" s="2">
        <v>16.5</v>
      </c>
      <c r="F12" t="s">
        <v>31</v>
      </c>
      <c r="G12" s="2">
        <f>E13-E12</f>
        <v>4.949999999999999</v>
      </c>
      <c r="H12" s="19">
        <f>G12/E12</f>
        <v>0.29999999999999993</v>
      </c>
      <c r="K12" s="86" t="s">
        <v>137</v>
      </c>
      <c r="L12" s="85" t="s">
        <v>138</v>
      </c>
      <c r="M12" s="87">
        <v>1200</v>
      </c>
      <c r="N12" s="87">
        <v>3</v>
      </c>
      <c r="O12" s="88">
        <v>44690</v>
      </c>
    </row>
    <row r="13" spans="4:15" ht="30">
      <c r="D13" t="s">
        <v>90</v>
      </c>
      <c r="E13" s="2">
        <f>E12*1.3</f>
        <v>21.45</v>
      </c>
      <c r="F13" t="s">
        <v>31</v>
      </c>
      <c r="G13" s="2">
        <f>E14-E13</f>
        <v>6.435000000000002</v>
      </c>
      <c r="H13" s="19">
        <f>G13/E13</f>
        <v>0.3000000000000001</v>
      </c>
      <c r="K13" s="86" t="s">
        <v>139</v>
      </c>
      <c r="L13" s="85" t="s">
        <v>140</v>
      </c>
      <c r="M13" s="87">
        <v>1200</v>
      </c>
      <c r="N13" s="87">
        <v>3</v>
      </c>
      <c r="O13" s="88">
        <v>44230</v>
      </c>
    </row>
    <row r="14" spans="1:15" ht="30">
      <c r="A14" s="18"/>
      <c r="B14" s="18"/>
      <c r="D14" t="s">
        <v>32</v>
      </c>
      <c r="E14" s="4">
        <f>E13*1.3</f>
        <v>27.885</v>
      </c>
      <c r="K14" s="91" t="s">
        <v>141</v>
      </c>
      <c r="L14" s="85" t="s">
        <v>142</v>
      </c>
      <c r="M14" s="87">
        <v>1200</v>
      </c>
      <c r="N14" s="87">
        <v>3</v>
      </c>
      <c r="O14" s="88">
        <v>56010</v>
      </c>
    </row>
    <row r="15" spans="2:15" ht="30.75" thickBot="1">
      <c r="B15" s="1"/>
      <c r="E15" s="2"/>
      <c r="K15" s="86" t="s">
        <v>143</v>
      </c>
      <c r="L15" s="85" t="s">
        <v>144</v>
      </c>
      <c r="M15" s="87">
        <v>1800</v>
      </c>
      <c r="N15" s="87">
        <v>5</v>
      </c>
      <c r="O15" s="88">
        <v>36940</v>
      </c>
    </row>
    <row r="16" spans="1:15" ht="45">
      <c r="A16" s="62" t="s">
        <v>63</v>
      </c>
      <c r="B16" s="67" t="s">
        <v>99</v>
      </c>
      <c r="E16" s="2"/>
      <c r="K16" s="86" t="s">
        <v>145</v>
      </c>
      <c r="L16" s="85" t="s">
        <v>146</v>
      </c>
      <c r="M16" s="87">
        <v>1800</v>
      </c>
      <c r="N16" s="87">
        <v>5</v>
      </c>
      <c r="O16" s="88">
        <v>46210</v>
      </c>
    </row>
    <row r="17" spans="1:15" ht="45">
      <c r="A17" s="38">
        <v>300</v>
      </c>
      <c r="B17" s="60">
        <f>(A17/3.5)*3.78541178</f>
        <v>324.4638668571428</v>
      </c>
      <c r="K17" s="86" t="s">
        <v>147</v>
      </c>
      <c r="L17" s="85" t="s">
        <v>148</v>
      </c>
      <c r="M17" s="87">
        <v>1800</v>
      </c>
      <c r="N17" s="87">
        <v>5</v>
      </c>
      <c r="O17" s="88">
        <v>51610</v>
      </c>
    </row>
    <row r="18" spans="1:15" ht="30">
      <c r="A18" s="38" t="s">
        <v>98</v>
      </c>
      <c r="B18" s="60">
        <f>B17*0.15</f>
        <v>48.669580028571424</v>
      </c>
      <c r="C18" s="24"/>
      <c r="K18" s="86" t="s">
        <v>149</v>
      </c>
      <c r="L18" s="85" t="s">
        <v>150</v>
      </c>
      <c r="M18" s="87">
        <v>1800</v>
      </c>
      <c r="N18" s="87">
        <v>5</v>
      </c>
      <c r="O18" s="88">
        <v>61920</v>
      </c>
    </row>
    <row r="19" spans="1:15" ht="45.75" thickBot="1">
      <c r="A19" s="38" t="s">
        <v>64</v>
      </c>
      <c r="B19" s="60">
        <f>INT((B17-B18)/12)</f>
        <v>22</v>
      </c>
      <c r="K19" s="86" t="s">
        <v>151</v>
      </c>
      <c r="L19" s="85" t="s">
        <v>152</v>
      </c>
      <c r="M19" s="87">
        <v>1800</v>
      </c>
      <c r="N19" s="87">
        <v>5</v>
      </c>
      <c r="O19" s="88">
        <v>63140</v>
      </c>
    </row>
    <row r="20" spans="1:15" ht="30.75" thickBot="1">
      <c r="A20" s="39" t="s">
        <v>101</v>
      </c>
      <c r="B20" s="66">
        <f>B19*24</f>
        <v>528</v>
      </c>
      <c r="D20" s="178" t="s">
        <v>36</v>
      </c>
      <c r="E20" s="179"/>
      <c r="F20" s="180"/>
      <c r="K20" s="86" t="s">
        <v>153</v>
      </c>
      <c r="L20" s="85" t="s">
        <v>154</v>
      </c>
      <c r="M20" s="87">
        <v>1800</v>
      </c>
      <c r="N20" s="87">
        <v>3</v>
      </c>
      <c r="O20" s="88">
        <v>64900</v>
      </c>
    </row>
    <row r="21" spans="1:15" ht="30">
      <c r="A21" s="83" t="s">
        <v>100</v>
      </c>
      <c r="B21" s="24">
        <f>B20*2*2</f>
        <v>2112</v>
      </c>
      <c r="D21" s="72"/>
      <c r="E21" s="73" t="s">
        <v>15</v>
      </c>
      <c r="F21" s="74" t="s">
        <v>35</v>
      </c>
      <c r="K21" s="86" t="s">
        <v>155</v>
      </c>
      <c r="L21" s="85" t="s">
        <v>154</v>
      </c>
      <c r="M21" s="87">
        <v>1800</v>
      </c>
      <c r="N21" s="87">
        <v>3</v>
      </c>
      <c r="O21" s="88">
        <v>67850</v>
      </c>
    </row>
    <row r="22" spans="4:15" ht="30">
      <c r="D22" s="72" t="s">
        <v>33</v>
      </c>
      <c r="E22" s="30">
        <f>E10+E9</f>
        <v>11.504463131543012</v>
      </c>
      <c r="F22" s="31">
        <f>G11</f>
        <v>4.995536868456988</v>
      </c>
      <c r="K22" s="86" t="s">
        <v>156</v>
      </c>
      <c r="L22" s="85" t="s">
        <v>157</v>
      </c>
      <c r="M22" s="87">
        <v>2000</v>
      </c>
      <c r="N22" s="87">
        <v>3</v>
      </c>
      <c r="O22" s="88">
        <v>76120</v>
      </c>
    </row>
    <row r="23" spans="2:15" ht="30.75" thickBot="1">
      <c r="B23" s="1"/>
      <c r="D23" s="75" t="s">
        <v>34</v>
      </c>
      <c r="E23" s="32">
        <v>138</v>
      </c>
      <c r="F23" s="40">
        <v>60</v>
      </c>
      <c r="K23" s="86" t="s">
        <v>158</v>
      </c>
      <c r="L23" s="85" t="s">
        <v>159</v>
      </c>
      <c r="M23" s="87">
        <v>2000</v>
      </c>
      <c r="N23" s="87">
        <v>3</v>
      </c>
      <c r="O23" s="88">
        <v>87740</v>
      </c>
    </row>
    <row r="24" spans="2:15" ht="30">
      <c r="B24" s="1"/>
      <c r="K24" s="86" t="s">
        <v>160</v>
      </c>
      <c r="L24" s="85" t="s">
        <v>161</v>
      </c>
      <c r="M24" s="87">
        <v>2000</v>
      </c>
      <c r="N24" s="87">
        <v>3</v>
      </c>
      <c r="O24" s="88">
        <v>120330</v>
      </c>
    </row>
    <row r="25" spans="1:15" ht="30.75" thickBot="1">
      <c r="A25" s="3"/>
      <c r="B25" s="1"/>
      <c r="K25" s="86" t="s">
        <v>162</v>
      </c>
      <c r="L25" s="85" t="s">
        <v>163</v>
      </c>
      <c r="M25" s="87">
        <v>2000</v>
      </c>
      <c r="N25" s="87">
        <v>3</v>
      </c>
      <c r="O25" s="88">
        <v>125170</v>
      </c>
    </row>
    <row r="26" spans="1:15" ht="30">
      <c r="A26" s="56" t="s">
        <v>102</v>
      </c>
      <c r="B26" s="27">
        <v>100000</v>
      </c>
      <c r="K26" s="86" t="s">
        <v>164</v>
      </c>
      <c r="L26" s="85" t="s">
        <v>161</v>
      </c>
      <c r="M26" s="87">
        <v>3000</v>
      </c>
      <c r="N26" s="87">
        <v>3</v>
      </c>
      <c r="O26" s="88">
        <v>108820</v>
      </c>
    </row>
    <row r="27" spans="1:16" ht="30">
      <c r="A27" s="38" t="s">
        <v>103</v>
      </c>
      <c r="B27" s="26">
        <v>10000</v>
      </c>
      <c r="J27" s="92"/>
      <c r="K27" s="93" t="s">
        <v>165</v>
      </c>
      <c r="L27" s="94" t="s">
        <v>163</v>
      </c>
      <c r="M27" s="95">
        <v>3000</v>
      </c>
      <c r="N27" s="95">
        <v>3</v>
      </c>
      <c r="O27" s="96">
        <v>129460</v>
      </c>
      <c r="P27" s="92"/>
    </row>
    <row r="28" spans="1:15" ht="30">
      <c r="A28" s="38" t="s">
        <v>105</v>
      </c>
      <c r="B28" s="26">
        <v>40000</v>
      </c>
      <c r="D28" t="s">
        <v>174</v>
      </c>
      <c r="K28" s="86" t="s">
        <v>166</v>
      </c>
      <c r="L28" s="85" t="s">
        <v>161</v>
      </c>
      <c r="M28" s="87">
        <v>3600</v>
      </c>
      <c r="N28" s="87">
        <v>3</v>
      </c>
      <c r="O28" s="88">
        <v>118463</v>
      </c>
    </row>
    <row r="29" spans="1:15" ht="30">
      <c r="A29" s="38" t="s">
        <v>104</v>
      </c>
      <c r="B29" s="26">
        <v>10000</v>
      </c>
      <c r="D29" t="s">
        <v>175</v>
      </c>
      <c r="K29" s="86" t="s">
        <v>167</v>
      </c>
      <c r="L29" s="85" t="s">
        <v>163</v>
      </c>
      <c r="M29" s="87">
        <v>3600</v>
      </c>
      <c r="N29" s="87">
        <v>3</v>
      </c>
      <c r="O29" s="88">
        <v>155980</v>
      </c>
    </row>
    <row r="30" spans="1:15" ht="30">
      <c r="A30" s="38" t="s">
        <v>106</v>
      </c>
      <c r="B30" s="26">
        <v>40000</v>
      </c>
      <c r="D30" t="s">
        <v>174</v>
      </c>
      <c r="K30" s="86" t="s">
        <v>168</v>
      </c>
      <c r="L30" s="85" t="s">
        <v>161</v>
      </c>
      <c r="M30" s="87">
        <v>4300</v>
      </c>
      <c r="N30" s="87">
        <v>3</v>
      </c>
      <c r="O30" s="88">
        <v>113953</v>
      </c>
    </row>
    <row r="31" spans="1:15" ht="30">
      <c r="A31" s="38" t="s">
        <v>112</v>
      </c>
      <c r="B31" s="26">
        <v>150000</v>
      </c>
      <c r="K31" s="86" t="s">
        <v>169</v>
      </c>
      <c r="L31" s="85" t="s">
        <v>163</v>
      </c>
      <c r="M31" s="87">
        <v>4300</v>
      </c>
      <c r="N31" s="87">
        <v>3</v>
      </c>
      <c r="O31" s="88">
        <v>160990</v>
      </c>
    </row>
    <row r="32" spans="1:15" ht="30">
      <c r="A32" s="38" t="s">
        <v>111</v>
      </c>
      <c r="B32" s="26">
        <v>0</v>
      </c>
      <c r="K32" s="86" t="s">
        <v>170</v>
      </c>
      <c r="L32" s="85" t="s">
        <v>161</v>
      </c>
      <c r="M32" s="87">
        <v>5200</v>
      </c>
      <c r="N32" s="87">
        <v>3</v>
      </c>
      <c r="O32" s="88">
        <v>116273</v>
      </c>
    </row>
    <row r="33" spans="1:15" ht="30">
      <c r="A33" s="38" t="s">
        <v>107</v>
      </c>
      <c r="B33" s="26">
        <v>0</v>
      </c>
      <c r="K33" s="86" t="s">
        <v>171</v>
      </c>
      <c r="L33" s="85" t="s">
        <v>163</v>
      </c>
      <c r="M33" s="87">
        <v>5200</v>
      </c>
      <c r="N33" s="87">
        <v>3</v>
      </c>
      <c r="O33" s="88">
        <v>174280</v>
      </c>
    </row>
    <row r="34" spans="1:15" ht="30">
      <c r="A34" s="38" t="s">
        <v>108</v>
      </c>
      <c r="B34" s="26">
        <v>0</v>
      </c>
      <c r="K34" s="86" t="s">
        <v>172</v>
      </c>
      <c r="L34" s="85" t="s">
        <v>161</v>
      </c>
      <c r="M34" s="87">
        <v>6000</v>
      </c>
      <c r="N34" s="87">
        <v>3</v>
      </c>
      <c r="O34" s="88">
        <v>133790</v>
      </c>
    </row>
    <row r="35" spans="1:15" ht="30">
      <c r="A35" s="38" t="s">
        <v>109</v>
      </c>
      <c r="B35" s="26">
        <v>0</v>
      </c>
      <c r="K35" s="86" t="s">
        <v>173</v>
      </c>
      <c r="L35" s="85" t="s">
        <v>163</v>
      </c>
      <c r="M35" s="87">
        <v>6000</v>
      </c>
      <c r="N35" s="87">
        <v>3</v>
      </c>
      <c r="O35" s="88">
        <v>197100</v>
      </c>
    </row>
    <row r="36" spans="1:2" ht="15.75" thickBot="1">
      <c r="A36" s="39" t="s">
        <v>110</v>
      </c>
      <c r="B36" s="28">
        <v>0</v>
      </c>
    </row>
    <row r="37" ht="15.75" thickBot="1">
      <c r="B37" s="97">
        <f>SUM(B26:B36)</f>
        <v>350000</v>
      </c>
    </row>
  </sheetData>
  <sheetProtection/>
  <mergeCells count="6">
    <mergeCell ref="D20:F20"/>
    <mergeCell ref="K1:O1"/>
    <mergeCell ref="K6:K7"/>
    <mergeCell ref="L6:L7"/>
    <mergeCell ref="N6:N7"/>
    <mergeCell ref="O6:O7"/>
  </mergeCells>
  <hyperlinks>
    <hyperlink ref="K3" r:id="rId1" display="http://fillers.com/bottled water/BWL600BF.htm"/>
    <hyperlink ref="K4" r:id="rId2" display="http://fillers.com/bottled water/BWL600BF-MC.htm"/>
    <hyperlink ref="K5" r:id="rId3" display="http://fillers.com/bottled water/BWL600BF-MC-SL.htm"/>
    <hyperlink ref="K6" r:id="rId4" display="http://fillers.com/bottled water/BWL1200MF-MC-SL.htm"/>
    <hyperlink ref="K8" r:id="rId5" display="http://fillers.com/bottled water/BWL1000BF.htm"/>
    <hyperlink ref="K9" r:id="rId6" display="http://fillers.com/bottled water/BWL1000BF-MC.htm"/>
    <hyperlink ref="K10" r:id="rId7" display="http://fillers.com/bottled water/BWL1000BF-MC-SL.htm"/>
    <hyperlink ref="K11" r:id="rId8" display="http://fillers.com/bottled water/BWL1200SF-MC-SL.htm"/>
    <hyperlink ref="K12" r:id="rId9" display="http://fillers.com/bottled water/BWL1200SF-MC-SL.htm"/>
    <hyperlink ref="K13" r:id="rId10" display="http://fillers.com/bottled water/BWL1200AF-MC-SL.htm"/>
    <hyperlink ref="K14" r:id="rId11" display="http://fillers.com/bottled water/BWL1200AF-VAR-MC-SL.htm"/>
    <hyperlink ref="K15" r:id="rId12" display="http://fillers.com/bottled water/BWL1800MF-MC2-SL2.htm"/>
    <hyperlink ref="K16" r:id="rId13" display="http://fillers.com/bottled water/BWL1800SF-MC2-SL2.htm"/>
    <hyperlink ref="K17" r:id="rId14" display="http://fillers.com/bottled water/BWL1800SF-VAR-MC2-SL2.htm"/>
    <hyperlink ref="K18" r:id="rId15" display="http://fillers.com/bottled water/BWL1800AF-MC2-SL2.htm"/>
    <hyperlink ref="K19" r:id="rId16" display="http://fillers.com/bottled water/BWL1800AF-VAR-MC2-SL2.htm"/>
    <hyperlink ref="K20" r:id="rId17" display="http://fillers.com/bottled water/BWL1800AF-VAR-MC2-AL.htm"/>
    <hyperlink ref="K21" r:id="rId18" display="http://fillers.com/bottled water/BWL1800AF-MC2-AL.htm"/>
    <hyperlink ref="K22" r:id="rId19" display="http://fillers.com/bottled water/BWL2000AF-SC-AL.htm"/>
    <hyperlink ref="K23" r:id="rId20" display="http://fillers.com/bottled water/BWL2000AF-VAR-SC-AL.htm"/>
    <hyperlink ref="K24" r:id="rId21" display="http://fillers.com/bottled water/BWL2000AF-AC-AL.htm"/>
    <hyperlink ref="K25" r:id="rId22" display="http://fillers.com/bottled water/BWL2000AF-VAR-AC-AL.htm"/>
    <hyperlink ref="K26" r:id="rId23" display="http://fillers.com/bottled water/BWL3000AF-AC-AL.htm"/>
    <hyperlink ref="K27" r:id="rId24" display="http://fillers.com/bottled water/BWL3000AF-VAR-AC-AL.htm"/>
    <hyperlink ref="K28" r:id="rId25" display="http://fillers.com/bottled water/BWL3600AF-AC-AL.htm"/>
    <hyperlink ref="K29" r:id="rId26" display="http://fillers.com/bottled water/BWL3600AF-VAR-AC-AL.htm"/>
    <hyperlink ref="K30" r:id="rId27" display="http://fillers.com/bottled water/BWL4300AF-AC-AL.htm"/>
    <hyperlink ref="K31" r:id="rId28" display="http://fillers.com/bottled water/BWL4300AF-VAR-AC-AL.htm"/>
    <hyperlink ref="K32" r:id="rId29" display="http://fillers.com/bottled water/BWL5200AF-AC-AL.htm"/>
    <hyperlink ref="K33" r:id="rId30" display="http://fillers.com/bottled water/BWL5200AF-VAR-AC-AL.htm"/>
    <hyperlink ref="K34" r:id="rId31" display="http://fillers.com/bottled water/BWL6000AF-AC-AL.htm"/>
    <hyperlink ref="K35" r:id="rId32" display="http://fillers.com/bottled water/BWL6000AF-VAR-AC-AL.htm"/>
  </hyperlinks>
  <printOptions/>
  <pageMargins left="0.7" right="0.7" top="0.75" bottom="0.75" header="0.3" footer="0.3"/>
  <pageSetup orientation="portrait" r:id="rId35"/>
  <legacyDrawing r:id="rId34"/>
</worksheet>
</file>

<file path=xl/worksheets/sheet25.xml><?xml version="1.0" encoding="utf-8"?>
<worksheet xmlns="http://schemas.openxmlformats.org/spreadsheetml/2006/main" xmlns:r="http://schemas.openxmlformats.org/officeDocument/2006/relationships">
  <dimension ref="A1:J16"/>
  <sheetViews>
    <sheetView zoomScalePageLayoutView="0" workbookViewId="0" topLeftCell="A1">
      <selection activeCell="C14" sqref="C14"/>
    </sheetView>
  </sheetViews>
  <sheetFormatPr defaultColWidth="9.140625" defaultRowHeight="15"/>
  <cols>
    <col min="1" max="1" width="30.28125" style="0" customWidth="1"/>
    <col min="2" max="2" width="13.57421875" style="0" customWidth="1"/>
    <col min="4" max="4" width="20.421875" style="0" customWidth="1"/>
    <col min="6" max="6" width="13.140625" style="0" customWidth="1"/>
    <col min="7" max="7" width="11.00390625" style="0" customWidth="1"/>
    <col min="8" max="8" width="18.57421875" style="0" customWidth="1"/>
  </cols>
  <sheetData>
    <row r="1" spans="1:6" ht="15">
      <c r="A1" s="6" t="s">
        <v>6</v>
      </c>
      <c r="B1" s="14" t="s">
        <v>185</v>
      </c>
      <c r="C1" s="14" t="s">
        <v>12</v>
      </c>
      <c r="D1" s="14" t="s">
        <v>186</v>
      </c>
      <c r="F1" s="15" t="s">
        <v>22</v>
      </c>
    </row>
    <row r="2" spans="1:7" ht="15">
      <c r="A2" s="102" t="s">
        <v>11</v>
      </c>
      <c r="B2" s="103">
        <v>4.1</v>
      </c>
      <c r="C2" s="104">
        <v>1</v>
      </c>
      <c r="D2" s="105">
        <f aca="true" t="shared" si="0" ref="D2:D10">B2*C2</f>
        <v>4.1</v>
      </c>
      <c r="F2" t="s">
        <v>23</v>
      </c>
      <c r="G2" s="47">
        <f>(1500/2)/1000</f>
        <v>0.75</v>
      </c>
    </row>
    <row r="3" spans="1:7" ht="15">
      <c r="A3" s="102" t="s">
        <v>85</v>
      </c>
      <c r="B3" s="103">
        <v>1</v>
      </c>
      <c r="C3" s="104">
        <v>8</v>
      </c>
      <c r="D3" s="105">
        <f t="shared" si="0"/>
        <v>8</v>
      </c>
      <c r="F3" t="s">
        <v>24</v>
      </c>
      <c r="G3" s="76">
        <v>0.10678</v>
      </c>
    </row>
    <row r="4" spans="1:7" ht="15">
      <c r="A4" s="5" t="s">
        <v>16</v>
      </c>
      <c r="B4" s="7">
        <v>0.62</v>
      </c>
      <c r="C4" s="9">
        <v>1</v>
      </c>
      <c r="D4" s="8">
        <f t="shared" si="0"/>
        <v>0.62</v>
      </c>
      <c r="F4" t="s">
        <v>25</v>
      </c>
      <c r="G4" s="47">
        <v>10</v>
      </c>
    </row>
    <row r="5" spans="1:7" ht="15">
      <c r="A5" s="5" t="s">
        <v>19</v>
      </c>
      <c r="B5" s="7">
        <v>0.4</v>
      </c>
      <c r="C5" s="9">
        <v>19</v>
      </c>
      <c r="D5" s="8">
        <f t="shared" si="0"/>
        <v>7.6000000000000005</v>
      </c>
      <c r="G5" s="76">
        <f>G2*G3*G4</f>
        <v>0.8008500000000001</v>
      </c>
    </row>
    <row r="6" spans="1:6" ht="15">
      <c r="A6" s="102" t="s">
        <v>17</v>
      </c>
      <c r="B6" s="103">
        <v>1.2</v>
      </c>
      <c r="C6" s="104">
        <v>8</v>
      </c>
      <c r="D6" s="105">
        <f t="shared" si="0"/>
        <v>9.6</v>
      </c>
      <c r="E6" s="64"/>
      <c r="F6" s="17"/>
    </row>
    <row r="7" spans="1:4" ht="15">
      <c r="A7" s="10" t="s">
        <v>18</v>
      </c>
      <c r="B7" s="11">
        <v>1</v>
      </c>
      <c r="C7" s="12">
        <v>1.25</v>
      </c>
      <c r="D7" s="13">
        <f t="shared" si="0"/>
        <v>1.25</v>
      </c>
    </row>
    <row r="8" spans="1:4" ht="15">
      <c r="A8" s="5" t="s">
        <v>13</v>
      </c>
      <c r="B8" s="7">
        <v>1</v>
      </c>
      <c r="C8" s="9">
        <v>1</v>
      </c>
      <c r="D8" s="8">
        <f t="shared" si="0"/>
        <v>1</v>
      </c>
    </row>
    <row r="9" spans="1:4" ht="15">
      <c r="A9" s="5" t="s">
        <v>23</v>
      </c>
      <c r="B9" s="7">
        <v>0.08</v>
      </c>
      <c r="C9" s="9">
        <v>10</v>
      </c>
      <c r="D9" s="8">
        <f t="shared" si="0"/>
        <v>0.8</v>
      </c>
    </row>
    <row r="10" spans="1:4" ht="15">
      <c r="A10" s="5" t="s">
        <v>86</v>
      </c>
      <c r="B10" s="5">
        <v>0.007469276285844333</v>
      </c>
      <c r="C10" s="9">
        <v>8</v>
      </c>
      <c r="D10" s="8">
        <f t="shared" si="0"/>
        <v>0.059754210286754664</v>
      </c>
    </row>
    <row r="11" spans="1:6" ht="15">
      <c r="A11" s="192" t="s">
        <v>14</v>
      </c>
      <c r="B11" s="193"/>
      <c r="C11" s="194"/>
      <c r="D11" s="16">
        <f>SUM(D2:D10)</f>
        <v>33.029754210286754</v>
      </c>
      <c r="E11" s="17">
        <f>D11-E6</f>
        <v>33.029754210286754</v>
      </c>
      <c r="F11" s="17">
        <f>E11/8</f>
        <v>4.128719276285844</v>
      </c>
    </row>
    <row r="12" spans="9:10" ht="15">
      <c r="I12" s="195" t="s">
        <v>84</v>
      </c>
      <c r="J12" s="195"/>
    </row>
    <row r="13" spans="9:10" ht="15">
      <c r="I13">
        <v>21970</v>
      </c>
      <c r="J13">
        <v>164.1</v>
      </c>
    </row>
    <row r="14" spans="1:10" ht="15">
      <c r="A14" t="s">
        <v>26</v>
      </c>
      <c r="B14" s="17">
        <f>D11/8</f>
        <v>4.128719276285844</v>
      </c>
      <c r="J14">
        <f>J13/I13</f>
        <v>0.007469276285844333</v>
      </c>
    </row>
    <row r="16" spans="1:3" ht="15">
      <c r="A16" t="s">
        <v>27</v>
      </c>
      <c r="B16">
        <v>1</v>
      </c>
      <c r="C16">
        <v>0.94</v>
      </c>
    </row>
  </sheetData>
  <sheetProtection/>
  <mergeCells count="2">
    <mergeCell ref="A11:C11"/>
    <mergeCell ref="I12:J12"/>
  </mergeCells>
  <printOp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47"/>
  <sheetViews>
    <sheetView view="pageLayout" workbookViewId="0" topLeftCell="A13">
      <selection activeCell="A2" sqref="A2"/>
    </sheetView>
  </sheetViews>
  <sheetFormatPr defaultColWidth="9.140625" defaultRowHeight="15"/>
  <cols>
    <col min="1" max="1" width="28.140625" style="0" customWidth="1"/>
    <col min="2" max="2" width="14.28125" style="0" bestFit="1" customWidth="1"/>
    <col min="3" max="4" width="15.003906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56"/>
      <c r="B1" s="100" t="s">
        <v>15</v>
      </c>
      <c r="C1" s="100" t="s">
        <v>35</v>
      </c>
      <c r="D1" s="100" t="s">
        <v>54</v>
      </c>
      <c r="E1" s="114"/>
      <c r="F1" s="114"/>
      <c r="G1" s="114"/>
      <c r="H1" s="115"/>
      <c r="K1" s="162"/>
      <c r="L1" s="162"/>
      <c r="M1" s="162"/>
      <c r="N1" s="162"/>
      <c r="O1" s="162"/>
      <c r="P1" s="162"/>
      <c r="Q1" s="162"/>
      <c r="R1" s="170"/>
    </row>
    <row r="2" spans="1:18" ht="18.75">
      <c r="A2" s="132" t="s">
        <v>201</v>
      </c>
      <c r="B2" s="135">
        <f>Calcs!E22</f>
        <v>11.504463131543012</v>
      </c>
      <c r="C2" s="135">
        <f>Calcs!F22</f>
        <v>4.995536868456988</v>
      </c>
      <c r="D2" s="111">
        <f>B2+C2</f>
        <v>16.5</v>
      </c>
      <c r="E2" s="73"/>
      <c r="F2" s="73"/>
      <c r="G2" s="73"/>
      <c r="H2" s="74"/>
      <c r="K2" s="162"/>
      <c r="L2" s="162"/>
      <c r="M2" s="162"/>
      <c r="N2" s="162"/>
      <c r="O2" s="162"/>
      <c r="P2" s="162"/>
      <c r="Q2" s="162"/>
      <c r="R2" s="163"/>
    </row>
    <row r="3" spans="1:18" ht="15">
      <c r="A3" s="132" t="s">
        <v>202</v>
      </c>
      <c r="B3" s="135">
        <f>Calcs!E23</f>
        <v>138</v>
      </c>
      <c r="C3" s="135">
        <f>Calcs!F23</f>
        <v>60</v>
      </c>
      <c r="D3" s="111">
        <f>SUM(B3:C3)</f>
        <v>198</v>
      </c>
      <c r="E3" s="73"/>
      <c r="F3" s="73"/>
      <c r="G3" s="73"/>
      <c r="H3" s="74"/>
      <c r="K3" s="164"/>
      <c r="L3" s="165"/>
      <c r="M3" s="165"/>
      <c r="N3" s="165"/>
      <c r="O3" s="165"/>
      <c r="P3" s="165"/>
      <c r="Q3" s="165"/>
      <c r="R3" s="165"/>
    </row>
    <row r="4" spans="1:18" ht="15">
      <c r="A4" s="132" t="s">
        <v>203</v>
      </c>
      <c r="B4" s="140">
        <v>0</v>
      </c>
      <c r="C4" s="140">
        <v>1</v>
      </c>
      <c r="D4" s="140">
        <v>2</v>
      </c>
      <c r="E4" s="140">
        <v>3</v>
      </c>
      <c r="F4" s="140">
        <v>6</v>
      </c>
      <c r="G4" s="140">
        <v>8</v>
      </c>
      <c r="H4" s="161"/>
      <c r="K4" s="129"/>
      <c r="L4" s="166"/>
      <c r="M4" s="166"/>
      <c r="N4" s="166"/>
      <c r="O4" s="166"/>
      <c r="P4" s="166"/>
      <c r="Q4" s="166"/>
      <c r="R4" s="166"/>
    </row>
    <row r="5" spans="1:18" ht="15">
      <c r="A5" s="132" t="s">
        <v>204</v>
      </c>
      <c r="B5" s="112">
        <f>'FY 0 Most Likely'!N5</f>
        <v>0</v>
      </c>
      <c r="C5" s="112">
        <f>'FY 1 Most Likely'!N5</f>
        <v>4694.7</v>
      </c>
      <c r="D5" s="112">
        <f>'FY 2 Most Likely'!N5</f>
        <v>28620.083865520857</v>
      </c>
      <c r="E5" s="112">
        <f>'FY 3 Most Likely'!N5</f>
        <v>63818.95629373289</v>
      </c>
      <c r="F5" s="112">
        <f>'FY 4 Most Likely'!N5</f>
        <v>114609.67638023001</v>
      </c>
      <c r="G5" s="112">
        <f>'FY 5 Most Likely'!N5</f>
        <v>180019.95112083972</v>
      </c>
      <c r="H5" s="31">
        <f>SUM(B5:G5)</f>
        <v>391763.3676603235</v>
      </c>
      <c r="K5" s="129"/>
      <c r="L5" s="129"/>
      <c r="M5" s="129"/>
      <c r="N5" s="129"/>
      <c r="O5" s="129"/>
      <c r="P5" s="129"/>
      <c r="Q5" s="129"/>
      <c r="R5" s="128"/>
    </row>
    <row r="6" spans="1:18" ht="15">
      <c r="A6" s="132" t="s">
        <v>68</v>
      </c>
      <c r="B6" s="137" t="s">
        <v>75</v>
      </c>
      <c r="C6" s="137" t="s">
        <v>69</v>
      </c>
      <c r="D6" s="137" t="s">
        <v>73</v>
      </c>
      <c r="E6" s="137" t="s">
        <v>74</v>
      </c>
      <c r="F6" s="137" t="s">
        <v>76</v>
      </c>
      <c r="G6" s="137" t="s">
        <v>77</v>
      </c>
      <c r="H6" s="157" t="s">
        <v>200</v>
      </c>
      <c r="K6" s="129"/>
      <c r="L6" s="166"/>
      <c r="M6" s="166"/>
      <c r="N6" s="166"/>
      <c r="O6" s="166"/>
      <c r="P6" s="166"/>
      <c r="Q6" s="166"/>
      <c r="R6" s="166"/>
    </row>
    <row r="7" spans="1:18" ht="15">
      <c r="A7" s="132" t="s">
        <v>55</v>
      </c>
      <c r="B7" s="30">
        <f>'FY 0 Most Likely'!N7</f>
        <v>0</v>
      </c>
      <c r="C7" s="30">
        <f>'FY 1 Most Likely'!N7</f>
        <v>929550.5999999999</v>
      </c>
      <c r="D7" s="30">
        <f>'FY 2 Most Likely'!N7</f>
        <v>5666776.605373129</v>
      </c>
      <c r="E7" s="30">
        <f>'FY 3 Most Likely'!N7</f>
        <v>12636153.346159112</v>
      </c>
      <c r="F7" s="30">
        <f>'FY 4 Most Likely'!N7</f>
        <v>22692715.923285548</v>
      </c>
      <c r="G7" s="30">
        <f>'FY 5 Most Likely'!N7</f>
        <v>35643950.32192627</v>
      </c>
      <c r="H7" s="31">
        <f>SUM(B7:G7)</f>
        <v>77569146.79674405</v>
      </c>
      <c r="K7" s="129"/>
      <c r="L7" s="166"/>
      <c r="M7" s="166"/>
      <c r="N7" s="166"/>
      <c r="O7" s="166"/>
      <c r="P7" s="166"/>
      <c r="Q7" s="166"/>
      <c r="R7" s="165"/>
    </row>
    <row r="8" spans="1:18" ht="15">
      <c r="A8" s="156"/>
      <c r="B8" s="35"/>
      <c r="C8" s="35"/>
      <c r="D8" s="35"/>
      <c r="E8" s="35"/>
      <c r="F8" s="35"/>
      <c r="G8" s="35"/>
      <c r="H8" s="36"/>
      <c r="K8" s="129"/>
      <c r="L8" s="166"/>
      <c r="M8" s="166"/>
      <c r="N8" s="166"/>
      <c r="O8" s="166"/>
      <c r="P8" s="166"/>
      <c r="Q8" s="166"/>
      <c r="R8" s="166"/>
    </row>
    <row r="9" spans="1:18" ht="15">
      <c r="A9" s="132" t="s">
        <v>56</v>
      </c>
      <c r="B9" s="30">
        <f>'FY 0 Most Likely'!N9</f>
        <v>0</v>
      </c>
      <c r="C9" s="30">
        <f>'FY 1 Most Likely'!N9</f>
        <v>647868.6</v>
      </c>
      <c r="D9" s="30">
        <f>'FY 2 Most Likely'!N9</f>
        <v>3949571.573441878</v>
      </c>
      <c r="E9" s="30">
        <f>'FY 3 Most Likely'!N9</f>
        <v>8807015.96853514</v>
      </c>
      <c r="F9" s="30">
        <f>'FY 4 Most Likely'!N9</f>
        <v>15816135.340471746</v>
      </c>
      <c r="G9" s="30">
        <f>'FY 5 Most Likely'!N9</f>
        <v>24842753.254675884</v>
      </c>
      <c r="H9" s="31">
        <f>SUM(B9:G9)</f>
        <v>54063344.73712465</v>
      </c>
      <c r="K9" s="129"/>
      <c r="L9" s="166"/>
      <c r="M9" s="166"/>
      <c r="N9" s="166"/>
      <c r="O9" s="166"/>
      <c r="P9" s="166"/>
      <c r="Q9" s="166"/>
      <c r="R9" s="166"/>
    </row>
    <row r="10" spans="1:18" ht="15">
      <c r="A10" s="132" t="s">
        <v>199</v>
      </c>
      <c r="B10" s="30">
        <f>'FY 0 Most Likely'!N10</f>
        <v>25000</v>
      </c>
      <c r="C10" s="30">
        <f>'FY 1 Most Likely'!N10</f>
        <v>0</v>
      </c>
      <c r="D10" s="30">
        <f>'FY 2 Most Likely'!N10</f>
        <v>0</v>
      </c>
      <c r="E10" s="30">
        <f>'FY 3 Most Likely'!N10</f>
        <v>0</v>
      </c>
      <c r="F10" s="30">
        <f>'FY 4 Most Likely'!N10</f>
        <v>0</v>
      </c>
      <c r="G10" s="30">
        <f>'FY 5 Most Likely'!N10</f>
        <v>0</v>
      </c>
      <c r="H10" s="31">
        <f aca="true" t="shared" si="0" ref="H10:H32">SUM(B10:G10)</f>
        <v>25000</v>
      </c>
      <c r="K10" s="129"/>
      <c r="L10" s="167"/>
      <c r="M10" s="167"/>
      <c r="N10" s="167"/>
      <c r="O10" s="167"/>
      <c r="P10" s="167"/>
      <c r="Q10" s="167"/>
      <c r="R10" s="167"/>
    </row>
    <row r="11" spans="1:18" ht="15">
      <c r="A11" s="132" t="s">
        <v>188</v>
      </c>
      <c r="B11" s="30">
        <f>'FY 0 Most Likely'!N11</f>
        <v>0</v>
      </c>
      <c r="C11" s="30">
        <f>'FY 1 Most Likely'!N11</f>
        <v>200000</v>
      </c>
      <c r="D11" s="30">
        <f>'FY 2 Most Likely'!N11</f>
        <v>200000</v>
      </c>
      <c r="E11" s="30">
        <f>'FY 3 Most Likely'!N11</f>
        <v>400000</v>
      </c>
      <c r="F11" s="30">
        <f>'FY 4 Most Likely'!N11</f>
        <v>400000</v>
      </c>
      <c r="G11" s="30">
        <f>'FY 5 Most Likely'!N11</f>
        <v>400000</v>
      </c>
      <c r="H11" s="31">
        <f t="shared" si="0"/>
        <v>1600000</v>
      </c>
      <c r="K11" s="129"/>
      <c r="L11" s="128"/>
      <c r="M11" s="128"/>
      <c r="N11" s="128"/>
      <c r="O11" s="128"/>
      <c r="P11" s="128"/>
      <c r="Q11" s="128"/>
      <c r="R11" s="128"/>
    </row>
    <row r="12" spans="1:18" ht="15">
      <c r="A12" s="132" t="s">
        <v>196</v>
      </c>
      <c r="B12" s="30">
        <f>'FY 0 Most Likely'!N12</f>
        <v>0</v>
      </c>
      <c r="C12" s="30">
        <f>'FY 1 Most Likely'!N12</f>
        <v>0</v>
      </c>
      <c r="D12" s="30">
        <f>'FY 2 Most Likely'!N12</f>
        <v>0</v>
      </c>
      <c r="E12" s="30">
        <f>'FY 3 Most Likely'!N12</f>
        <v>0</v>
      </c>
      <c r="F12" s="30">
        <f>'FY 4 Most Likely'!N12</f>
        <v>0</v>
      </c>
      <c r="G12" s="30">
        <f>'FY 5 Most Likely'!N12</f>
        <v>0</v>
      </c>
      <c r="H12" s="31">
        <f t="shared" si="0"/>
        <v>0</v>
      </c>
      <c r="K12" s="129"/>
      <c r="L12" s="128"/>
      <c r="M12" s="128"/>
      <c r="N12" s="128"/>
      <c r="O12" s="128"/>
      <c r="P12" s="128"/>
      <c r="Q12" s="128"/>
      <c r="R12" s="128"/>
    </row>
    <row r="13" spans="1:18" ht="15">
      <c r="A13" s="132" t="s">
        <v>47</v>
      </c>
      <c r="B13" s="30">
        <f>'FY 0 Most Likely'!N13</f>
        <v>36000</v>
      </c>
      <c r="C13" s="30">
        <f>'FY 1 Most Likely'!N13</f>
        <v>36000</v>
      </c>
      <c r="D13" s="30">
        <f>'FY 2 Most Likely'!N13</f>
        <v>212000</v>
      </c>
      <c r="E13" s="30">
        <f>'FY 3 Most Likely'!N13</f>
        <v>300000</v>
      </c>
      <c r="F13" s="30">
        <f>'FY 4 Most Likely'!N13</f>
        <v>300000</v>
      </c>
      <c r="G13" s="30">
        <f>'FY 5 Most Likely'!N13</f>
        <v>300000</v>
      </c>
      <c r="H13" s="31">
        <f t="shared" si="0"/>
        <v>1184000</v>
      </c>
      <c r="K13" s="129"/>
      <c r="L13" s="128"/>
      <c r="M13" s="128"/>
      <c r="N13" s="128"/>
      <c r="O13" s="128"/>
      <c r="P13" s="128"/>
      <c r="Q13" s="128"/>
      <c r="R13" s="128"/>
    </row>
    <row r="14" spans="1:18" ht="15">
      <c r="A14" s="132" t="s">
        <v>205</v>
      </c>
      <c r="B14" s="30">
        <f>'FY 0 Most Likely'!N14</f>
        <v>0</v>
      </c>
      <c r="C14" s="30">
        <f>'FY 1 Most Likely'!N14</f>
        <v>10000</v>
      </c>
      <c r="D14" s="30">
        <f>'FY 2 Most Likely'!N14</f>
        <v>0</v>
      </c>
      <c r="E14" s="30">
        <f>'FY 3 Most Likely'!N14</f>
        <v>0</v>
      </c>
      <c r="F14" s="30">
        <f>'FY 4 Most Likely'!N14</f>
        <v>0</v>
      </c>
      <c r="G14" s="30">
        <f>'FY 5 Most Likely'!N14</f>
        <v>0</v>
      </c>
      <c r="H14" s="31">
        <f t="shared" si="0"/>
        <v>10000</v>
      </c>
      <c r="K14" s="129"/>
      <c r="L14" s="128"/>
      <c r="M14" s="128"/>
      <c r="N14" s="128"/>
      <c r="O14" s="128"/>
      <c r="P14" s="128"/>
      <c r="Q14" s="128"/>
      <c r="R14" s="128"/>
    </row>
    <row r="15" spans="1:18" ht="15">
      <c r="A15" s="132" t="s">
        <v>189</v>
      </c>
      <c r="B15" s="30">
        <f>'FY 0 Most Likely'!N15</f>
        <v>0</v>
      </c>
      <c r="C15" s="30">
        <f>'FY 1 Most Likely'!N15</f>
        <v>36200</v>
      </c>
      <c r="D15" s="30">
        <f>'FY 2 Most Likely'!N15</f>
        <v>76925</v>
      </c>
      <c r="E15" s="30">
        <f>'FY 3 Most Likely'!N15</f>
        <v>144800</v>
      </c>
      <c r="F15" s="30">
        <f>'FY 4 Most Likely'!N15</f>
        <v>248875</v>
      </c>
      <c r="G15" s="30">
        <f>'FY 5 Most Likely'!N15</f>
        <v>366525</v>
      </c>
      <c r="H15" s="31">
        <f t="shared" si="0"/>
        <v>873325</v>
      </c>
      <c r="K15" s="129"/>
      <c r="L15" s="128"/>
      <c r="M15" s="128"/>
      <c r="N15" s="128"/>
      <c r="O15" s="128"/>
      <c r="P15" s="128"/>
      <c r="Q15" s="128"/>
      <c r="R15" s="128"/>
    </row>
    <row r="16" spans="1:18" ht="15">
      <c r="A16" s="132" t="s">
        <v>190</v>
      </c>
      <c r="B16" s="30">
        <f>'FY 0 Most Likely'!N16</f>
        <v>0</v>
      </c>
      <c r="C16" s="30">
        <f>'FY 1 Most Likely'!N16</f>
        <v>18100</v>
      </c>
      <c r="D16" s="30">
        <f>'FY 2 Most Likely'!N16</f>
        <v>67875</v>
      </c>
      <c r="E16" s="30">
        <f>'FY 3 Most Likely'!N16</f>
        <v>131225</v>
      </c>
      <c r="F16" s="30">
        <f>'FY 4 Most Likely'!N16</f>
        <v>226250</v>
      </c>
      <c r="G16" s="30">
        <f>'FY 5 Most Likely'!N16</f>
        <v>357475</v>
      </c>
      <c r="H16" s="31">
        <f t="shared" si="0"/>
        <v>800925</v>
      </c>
      <c r="K16" s="168"/>
      <c r="L16" s="169"/>
      <c r="M16" s="169"/>
      <c r="N16" s="169"/>
      <c r="O16" s="169"/>
      <c r="P16" s="169"/>
      <c r="Q16" s="169"/>
      <c r="R16" s="169"/>
    </row>
    <row r="17" spans="1:8" ht="15">
      <c r="A17" s="132" t="s">
        <v>191</v>
      </c>
      <c r="B17" s="30">
        <f>'FY 0 Most Likely'!N17</f>
        <v>0</v>
      </c>
      <c r="C17" s="30">
        <f>'FY 1 Most Likely'!N17</f>
        <v>4525</v>
      </c>
      <c r="D17" s="30">
        <f>'FY 2 Most Likely'!N17</f>
        <v>58825</v>
      </c>
      <c r="E17" s="30">
        <f>'FY 3 Most Likely'!N17</f>
        <v>122175</v>
      </c>
      <c r="F17" s="30">
        <f>'FY 4 Most Likely'!N17</f>
        <v>212675</v>
      </c>
      <c r="G17" s="30">
        <f>'FY 5 Most Likely'!N17</f>
        <v>339375</v>
      </c>
      <c r="H17" s="31">
        <f t="shared" si="0"/>
        <v>737575</v>
      </c>
    </row>
    <row r="18" spans="1:8" ht="15">
      <c r="A18" s="132" t="s">
        <v>192</v>
      </c>
      <c r="B18" s="30">
        <f>'FY 0 Most Likely'!N18</f>
        <v>0</v>
      </c>
      <c r="C18" s="30">
        <f>'FY 1 Most Likely'!N18</f>
        <v>0</v>
      </c>
      <c r="D18" s="30">
        <f>'FY 2 Most Likely'!N18</f>
        <v>36200</v>
      </c>
      <c r="E18" s="30">
        <f>'FY 3 Most Likely'!N18</f>
        <v>108600</v>
      </c>
      <c r="F18" s="30">
        <f>'FY 4 Most Likely'!N18</f>
        <v>203625</v>
      </c>
      <c r="G18" s="30">
        <f>'FY 5 Most Likely'!N18</f>
        <v>325800</v>
      </c>
      <c r="H18" s="31">
        <f t="shared" si="0"/>
        <v>674225</v>
      </c>
    </row>
    <row r="19" spans="1:8" ht="15">
      <c r="A19" s="132" t="s">
        <v>194</v>
      </c>
      <c r="B19" s="30">
        <f>'FY 0 Most Likely'!N19</f>
        <v>0</v>
      </c>
      <c r="C19" s="30">
        <f>'FY 1 Most Likely'!N19</f>
        <v>52800</v>
      </c>
      <c r="D19" s="30">
        <f>'FY 2 Most Likely'!N19</f>
        <v>105600</v>
      </c>
      <c r="E19" s="30">
        <f>'FY 3 Most Likely'!N19</f>
        <v>105600</v>
      </c>
      <c r="F19" s="30">
        <f>'FY 4 Most Likely'!N19</f>
        <v>105600</v>
      </c>
      <c r="G19" s="30">
        <f>'FY 5 Most Likely'!N19</f>
        <v>105600</v>
      </c>
      <c r="H19" s="31">
        <f t="shared" si="0"/>
        <v>475200</v>
      </c>
    </row>
    <row r="20" spans="1:8" ht="15">
      <c r="A20" s="132" t="s">
        <v>193</v>
      </c>
      <c r="B20" s="30">
        <f>'FY 0 Most Likely'!N20</f>
        <v>0</v>
      </c>
      <c r="C20" s="30">
        <f>'FY 1 Most Likely'!N20</f>
        <v>4400</v>
      </c>
      <c r="D20" s="30">
        <f>'FY 2 Most Likely'!N20</f>
        <v>88000</v>
      </c>
      <c r="E20" s="30">
        <f>'FY 3 Most Likely'!N20</f>
        <v>105600</v>
      </c>
      <c r="F20" s="30">
        <f>'FY 4 Most Likely'!N20</f>
        <v>105600</v>
      </c>
      <c r="G20" s="30">
        <f>'FY 5 Most Likely'!N20</f>
        <v>105600</v>
      </c>
      <c r="H20" s="31">
        <f t="shared" si="0"/>
        <v>409200</v>
      </c>
    </row>
    <row r="21" spans="1:8" ht="15">
      <c r="A21" s="132" t="s">
        <v>206</v>
      </c>
      <c r="B21" s="30">
        <f>'FY 0 Most Likely'!N21</f>
        <v>132000</v>
      </c>
      <c r="C21" s="30">
        <f>'FY 1 Most Likely'!N21</f>
        <v>132000</v>
      </c>
      <c r="D21" s="30">
        <f>'FY 2 Most Likely'!N21</f>
        <v>132000</v>
      </c>
      <c r="E21" s="30">
        <f>'FY 3 Most Likely'!N21</f>
        <v>132000</v>
      </c>
      <c r="F21" s="30">
        <f>'FY 4 Most Likely'!N21</f>
        <v>132000</v>
      </c>
      <c r="G21" s="30">
        <f>'FY 5 Most Likely'!N21</f>
        <v>132000</v>
      </c>
      <c r="H21" s="31">
        <f t="shared" si="0"/>
        <v>792000</v>
      </c>
    </row>
    <row r="22" spans="1:8" ht="15">
      <c r="A22" s="132" t="s">
        <v>67</v>
      </c>
      <c r="B22" s="30">
        <f>'FY 0 Most Likely'!N22</f>
        <v>33000</v>
      </c>
      <c r="C22" s="30">
        <f>'FY 1 Most Likely'!N22</f>
        <v>107250</v>
      </c>
      <c r="D22" s="30">
        <f>'FY 2 Most Likely'!N22</f>
        <v>132000</v>
      </c>
      <c r="E22" s="30">
        <f>'FY 3 Most Likely'!N22</f>
        <v>132000</v>
      </c>
      <c r="F22" s="30">
        <f>'FY 4 Most Likely'!N22</f>
        <v>132000</v>
      </c>
      <c r="G22" s="30">
        <f>'FY 5 Most Likely'!N22</f>
        <v>132000</v>
      </c>
      <c r="H22" s="31">
        <f t="shared" si="0"/>
        <v>668250</v>
      </c>
    </row>
    <row r="23" spans="1:8" ht="15">
      <c r="A23" s="132" t="s">
        <v>43</v>
      </c>
      <c r="B23" s="30">
        <f>'FY 0 Most Likely'!N23</f>
        <v>0</v>
      </c>
      <c r="C23" s="30">
        <f>'FY 1 Most Likely'!N23</f>
        <v>0</v>
      </c>
      <c r="D23" s="30">
        <f>'FY 2 Most Likely'!N23</f>
        <v>120000</v>
      </c>
      <c r="E23" s="30">
        <f>'FY 3 Most Likely'!N23</f>
        <v>120000</v>
      </c>
      <c r="F23" s="30">
        <f>'FY 4 Most Likely'!N23</f>
        <v>120000</v>
      </c>
      <c r="G23" s="30">
        <f>'FY 5 Most Likely'!N23</f>
        <v>120000</v>
      </c>
      <c r="H23" s="31">
        <f t="shared" si="0"/>
        <v>480000</v>
      </c>
    </row>
    <row r="24" spans="1:8" ht="15">
      <c r="A24" s="132" t="s">
        <v>62</v>
      </c>
      <c r="B24" s="30">
        <f>'FY 0 Most Likely'!N24</f>
        <v>0</v>
      </c>
      <c r="C24" s="30">
        <f>'FY 1 Most Likely'!N24</f>
        <v>20000</v>
      </c>
      <c r="D24" s="30">
        <f>'FY 2 Most Likely'!N24</f>
        <v>30000</v>
      </c>
      <c r="E24" s="30">
        <f>'FY 3 Most Likely'!N24</f>
        <v>30000</v>
      </c>
      <c r="F24" s="30">
        <f>'FY 4 Most Likely'!N24</f>
        <v>30000</v>
      </c>
      <c r="G24" s="30">
        <f>'FY 5 Most Likely'!N24</f>
        <v>30000</v>
      </c>
      <c r="H24" s="31">
        <f t="shared" si="0"/>
        <v>140000</v>
      </c>
    </row>
    <row r="25" spans="1:8" ht="15">
      <c r="A25" s="132" t="s">
        <v>96</v>
      </c>
      <c r="B25" s="30">
        <f>'FY 0 Most Likely'!N25</f>
        <v>42000</v>
      </c>
      <c r="C25" s="30">
        <f>'FY 1 Most Likely'!N25</f>
        <v>174000</v>
      </c>
      <c r="D25" s="30">
        <f>'FY 2 Most Likely'!N25</f>
        <v>240000</v>
      </c>
      <c r="E25" s="30">
        <f>'FY 3 Most Likely'!N25</f>
        <v>480000</v>
      </c>
      <c r="F25" s="30">
        <f>'FY 4 Most Likely'!N25</f>
        <v>480000</v>
      </c>
      <c r="G25" s="30">
        <f>'FY 5 Most Likely'!N25</f>
        <v>480000</v>
      </c>
      <c r="H25" s="31">
        <f t="shared" si="0"/>
        <v>1896000</v>
      </c>
    </row>
    <row r="26" spans="1:8" ht="15">
      <c r="A26" s="132" t="s">
        <v>45</v>
      </c>
      <c r="B26" s="30">
        <f>'FY 0 Most Likely'!N26</f>
        <v>6000</v>
      </c>
      <c r="C26" s="30">
        <f>'FY 1 Most Likely'!N26</f>
        <v>28000</v>
      </c>
      <c r="D26" s="30">
        <f>'FY 2 Most Likely'!N26</f>
        <v>72000</v>
      </c>
      <c r="E26" s="30">
        <f>'FY 3 Most Likely'!N26</f>
        <v>72000</v>
      </c>
      <c r="F26" s="30">
        <f>'FY 4 Most Likely'!N26</f>
        <v>72000</v>
      </c>
      <c r="G26" s="30">
        <f>'FY 5 Most Likely'!N26</f>
        <v>72000</v>
      </c>
      <c r="H26" s="31">
        <f t="shared" si="0"/>
        <v>322000</v>
      </c>
    </row>
    <row r="27" spans="1:8" ht="15">
      <c r="A27" s="132" t="s">
        <v>46</v>
      </c>
      <c r="B27" s="30">
        <f>'FY 0 Most Likely'!N27</f>
        <v>3000</v>
      </c>
      <c r="C27" s="30">
        <f>'FY 1 Most Likely'!N27</f>
        <v>9441.094000000001</v>
      </c>
      <c r="D27" s="30">
        <f>'FY 2 Most Likely'!N27</f>
        <v>14285.514</v>
      </c>
      <c r="E27" s="30">
        <f>'FY 3 Most Likely'!N27</f>
        <v>16302.144000000004</v>
      </c>
      <c r="F27" s="30">
        <f>'FY 4 Most Likely'!N27</f>
        <v>19394.309999999998</v>
      </c>
      <c r="G27" s="30">
        <f>'FY 5 Most Likely'!N27</f>
        <v>22889.802000000003</v>
      </c>
      <c r="H27" s="31">
        <f t="shared" si="0"/>
        <v>85312.864</v>
      </c>
    </row>
    <row r="28" spans="1:8" ht="15">
      <c r="A28" s="132" t="s">
        <v>48</v>
      </c>
      <c r="B28" s="30">
        <f>'FY 0 Most Likely'!N28</f>
        <v>18000</v>
      </c>
      <c r="C28" s="30">
        <f>'FY 1 Most Likely'!N28</f>
        <v>86000</v>
      </c>
      <c r="D28" s="30">
        <f>'FY 2 Most Likely'!N28</f>
        <v>120000</v>
      </c>
      <c r="E28" s="30">
        <f>'FY 3 Most Likely'!N28</f>
        <v>120000</v>
      </c>
      <c r="F28" s="30">
        <f>'FY 4 Most Likely'!N28</f>
        <v>120000</v>
      </c>
      <c r="G28" s="30">
        <f>'FY 5 Most Likely'!N28</f>
        <v>120000</v>
      </c>
      <c r="H28" s="31">
        <f t="shared" si="0"/>
        <v>584000</v>
      </c>
    </row>
    <row r="29" spans="1:8" ht="15">
      <c r="A29" s="132" t="s">
        <v>50</v>
      </c>
      <c r="B29" s="30">
        <f>'FY 0 Most Likely'!N29</f>
        <v>0</v>
      </c>
      <c r="C29" s="30">
        <f>'FY 1 Most Likely'!N29</f>
        <v>10500</v>
      </c>
      <c r="D29" s="30">
        <f>'FY 2 Most Likely'!N29</f>
        <v>18000</v>
      </c>
      <c r="E29" s="30">
        <f>'FY 3 Most Likely'!N29</f>
        <v>18000</v>
      </c>
      <c r="F29" s="30">
        <f>'FY 4 Most Likely'!N29</f>
        <v>18000</v>
      </c>
      <c r="G29" s="30">
        <f>'FY 5 Most Likely'!N29</f>
        <v>18000</v>
      </c>
      <c r="H29" s="31">
        <f t="shared" si="0"/>
        <v>82500</v>
      </c>
    </row>
    <row r="30" spans="1:8" ht="15">
      <c r="A30" s="132" t="s">
        <v>195</v>
      </c>
      <c r="B30" s="30">
        <f>'FY 0 Most Likely'!N30</f>
        <v>0</v>
      </c>
      <c r="C30" s="30">
        <f>'FY 1 Most Likely'!N30</f>
        <v>20004</v>
      </c>
      <c r="D30" s="30">
        <f>'FY 2 Most Likely'!N30</f>
        <v>20004</v>
      </c>
      <c r="E30" s="30">
        <f>'FY 3 Most Likely'!N30</f>
        <v>20004</v>
      </c>
      <c r="F30" s="30">
        <f>'FY 4 Most Likely'!N30</f>
        <v>20004</v>
      </c>
      <c r="G30" s="30">
        <f>'FY 5 Most Likely'!N30</f>
        <v>20004</v>
      </c>
      <c r="H30" s="31">
        <f>SUM(B30:G30)</f>
        <v>100020</v>
      </c>
    </row>
    <row r="31" spans="1:8" ht="15">
      <c r="A31" s="132" t="s">
        <v>198</v>
      </c>
      <c r="B31" s="30">
        <f>'FY 0 Most Likely'!N31</f>
        <v>0</v>
      </c>
      <c r="C31" s="30">
        <f>'FY 1 Most Likely'!N31</f>
        <v>63194.7</v>
      </c>
      <c r="D31" s="30">
        <f>'FY 2 Most Likely'!N31</f>
        <v>106620.08386552084</v>
      </c>
      <c r="E31" s="30">
        <f>'FY 3 Most Likely'!N31</f>
        <v>141818.9562937329</v>
      </c>
      <c r="F31" s="30">
        <f>'FY 4 Most Likely'!N31</f>
        <v>192609.67638023003</v>
      </c>
      <c r="G31" s="30">
        <f>'FY 5 Most Likely'!N31</f>
        <v>225781.56000000003</v>
      </c>
      <c r="H31" s="31">
        <f t="shared" si="0"/>
        <v>730024.9765394838</v>
      </c>
    </row>
    <row r="32" spans="1:8" ht="15">
      <c r="A32" s="133" t="s">
        <v>59</v>
      </c>
      <c r="B32" s="30">
        <f>'FY 0 Most Likely'!N32</f>
        <v>0</v>
      </c>
      <c r="C32" s="30">
        <f>'FY 1 Most Likely'!N32</f>
        <v>30603.5</v>
      </c>
      <c r="D32" s="30">
        <f>'FY 2 Most Likely'!N32</f>
        <v>40808.5</v>
      </c>
      <c r="E32" s="30">
        <f>'FY 3 Most Likely'!N32</f>
        <v>40816</v>
      </c>
      <c r="F32" s="30">
        <f>'FY 4 Most Likely'!N32</f>
        <v>40827.5</v>
      </c>
      <c r="G32" s="30">
        <f>'FY 5 Most Likely'!N32</f>
        <v>130809.97556041989</v>
      </c>
      <c r="H32" s="37">
        <f t="shared" si="0"/>
        <v>283865.4755604199</v>
      </c>
    </row>
    <row r="33" spans="1:8" ht="15.75" thickBot="1">
      <c r="A33" s="133" t="s">
        <v>58</v>
      </c>
      <c r="B33" s="30">
        <f>'FY 0 Most Likely'!N33</f>
        <v>0</v>
      </c>
      <c r="C33" s="30">
        <f>'FY 1 Most Likely'!N33</f>
        <v>32947.35</v>
      </c>
      <c r="D33" s="30">
        <f>'FY 2 Most Likely'!N33</f>
        <v>55110.04193276042</v>
      </c>
      <c r="E33" s="30">
        <f>'FY 3 Most Likely'!N33</f>
        <v>72709.47814686644</v>
      </c>
      <c r="F33" s="30">
        <f>'FY 4 Most Likely'!N33</f>
        <v>98104.83819011501</v>
      </c>
      <c r="G33" s="30">
        <f>'FY 5 Most Likely'!N33</f>
        <v>56919.19556041987</v>
      </c>
      <c r="H33" s="37">
        <f>SUM(B33:G33)</f>
        <v>315790.9038301617</v>
      </c>
    </row>
    <row r="34" spans="1:8" ht="15.75" thickBot="1">
      <c r="A34" s="134" t="s">
        <v>94</v>
      </c>
      <c r="B34" s="33">
        <f>'FY 0 Most Likely'!N34</f>
        <v>-295000</v>
      </c>
      <c r="C34" s="33">
        <f>'FY 1 Most Likely'!N34</f>
        <v>-794283.6440000001</v>
      </c>
      <c r="D34" s="33">
        <f>'FY 2 Most Likely'!N34</f>
        <v>-229048.1078670298</v>
      </c>
      <c r="E34" s="33">
        <f>'FY 3 Most Likely'!N34</f>
        <v>1015486.7991833744</v>
      </c>
      <c r="F34" s="33">
        <f>'FY 4 Most Likely'!N34</f>
        <v>3599015.2582434574</v>
      </c>
      <c r="G34" s="33">
        <f>'FY 5 Most Likely'!N34</f>
        <v>6940417.534129547</v>
      </c>
      <c r="H34" s="23">
        <f>SUM(B34:G34)</f>
        <v>10236587.839689348</v>
      </c>
    </row>
    <row r="37" spans="1:18" ht="15">
      <c r="A37" s="173" t="s">
        <v>216</v>
      </c>
      <c r="B37" s="173"/>
      <c r="C37" s="173"/>
      <c r="D37" s="173"/>
      <c r="E37" s="173"/>
      <c r="F37" s="173"/>
      <c r="G37" s="173"/>
      <c r="H37" s="173"/>
      <c r="I37" s="143"/>
      <c r="J37" s="143"/>
      <c r="K37" s="143"/>
      <c r="L37" s="143"/>
      <c r="M37" s="143"/>
      <c r="N37" s="143"/>
      <c r="O37" s="143"/>
      <c r="P37" s="143"/>
      <c r="Q37" s="143"/>
      <c r="R37" s="143"/>
    </row>
    <row r="38" spans="1:18" ht="15">
      <c r="A38" s="173"/>
      <c r="B38" s="173"/>
      <c r="C38" s="173"/>
      <c r="D38" s="173"/>
      <c r="E38" s="173"/>
      <c r="F38" s="173"/>
      <c r="G38" s="173"/>
      <c r="H38" s="173"/>
      <c r="I38" s="143"/>
      <c r="J38" s="143"/>
      <c r="K38" s="143"/>
      <c r="L38" s="143"/>
      <c r="M38" s="143"/>
      <c r="N38" s="143"/>
      <c r="O38" s="143"/>
      <c r="P38" s="143"/>
      <c r="Q38" s="143"/>
      <c r="R38" s="143"/>
    </row>
    <row r="39" spans="1:18" ht="15">
      <c r="A39" s="173"/>
      <c r="B39" s="173"/>
      <c r="C39" s="173"/>
      <c r="D39" s="173"/>
      <c r="E39" s="173"/>
      <c r="F39" s="173"/>
      <c r="G39" s="173"/>
      <c r="H39" s="173"/>
      <c r="I39" s="143"/>
      <c r="J39" s="143"/>
      <c r="K39" s="143"/>
      <c r="L39" s="143"/>
      <c r="M39" s="143"/>
      <c r="N39" s="143"/>
      <c r="O39" s="143"/>
      <c r="P39" s="143"/>
      <c r="Q39" s="143"/>
      <c r="R39" s="143"/>
    </row>
    <row r="40" spans="1:18" ht="15">
      <c r="A40" s="173"/>
      <c r="B40" s="173"/>
      <c r="C40" s="173"/>
      <c r="D40" s="173"/>
      <c r="E40" s="173"/>
      <c r="F40" s="173"/>
      <c r="G40" s="173"/>
      <c r="H40" s="173"/>
      <c r="I40" s="143"/>
      <c r="J40" s="143"/>
      <c r="K40" s="143"/>
      <c r="L40" s="143"/>
      <c r="M40" s="143"/>
      <c r="N40" s="143"/>
      <c r="O40" s="143"/>
      <c r="P40" s="143"/>
      <c r="Q40" s="143"/>
      <c r="R40" s="143"/>
    </row>
    <row r="41" spans="1:18" ht="15">
      <c r="A41" s="173"/>
      <c r="B41" s="173"/>
      <c r="C41" s="173"/>
      <c r="D41" s="173"/>
      <c r="E41" s="173"/>
      <c r="F41" s="173"/>
      <c r="G41" s="173"/>
      <c r="H41" s="173"/>
      <c r="I41" s="143"/>
      <c r="J41" s="143"/>
      <c r="K41" s="143"/>
      <c r="L41" s="143"/>
      <c r="M41" s="143"/>
      <c r="N41" s="143"/>
      <c r="O41" s="143"/>
      <c r="P41" s="143"/>
      <c r="Q41" s="143"/>
      <c r="R41" s="143"/>
    </row>
    <row r="42" spans="1:18" ht="15">
      <c r="A42" s="173"/>
      <c r="B42" s="173"/>
      <c r="C42" s="173"/>
      <c r="D42" s="173"/>
      <c r="E42" s="173"/>
      <c r="F42" s="173"/>
      <c r="G42" s="173"/>
      <c r="H42" s="173"/>
      <c r="I42" s="143"/>
      <c r="J42" s="143"/>
      <c r="K42" s="143"/>
      <c r="L42" s="143"/>
      <c r="M42" s="143"/>
      <c r="N42" s="143"/>
      <c r="O42" s="143"/>
      <c r="P42" s="143"/>
      <c r="Q42" s="143"/>
      <c r="R42" s="143"/>
    </row>
    <row r="43" spans="1:18" ht="15">
      <c r="A43" s="173"/>
      <c r="B43" s="173"/>
      <c r="C43" s="173"/>
      <c r="D43" s="173"/>
      <c r="E43" s="173"/>
      <c r="F43" s="173"/>
      <c r="G43" s="173"/>
      <c r="H43" s="173"/>
      <c r="I43" s="143"/>
      <c r="J43" s="143"/>
      <c r="K43" s="143"/>
      <c r="L43" s="143"/>
      <c r="M43" s="143"/>
      <c r="N43" s="143"/>
      <c r="O43" s="143"/>
      <c r="P43" s="143"/>
      <c r="Q43" s="143"/>
      <c r="R43" s="143"/>
    </row>
    <row r="44" spans="1:18" ht="15">
      <c r="A44" s="173"/>
      <c r="B44" s="173"/>
      <c r="C44" s="173"/>
      <c r="D44" s="173"/>
      <c r="E44" s="173"/>
      <c r="F44" s="173"/>
      <c r="G44" s="173"/>
      <c r="H44" s="173"/>
      <c r="I44" s="143"/>
      <c r="J44" s="143"/>
      <c r="K44" s="143"/>
      <c r="L44" s="143"/>
      <c r="M44" s="143"/>
      <c r="N44" s="143"/>
      <c r="O44" s="143"/>
      <c r="P44" s="143"/>
      <c r="Q44" s="143"/>
      <c r="R44" s="143"/>
    </row>
    <row r="45" spans="1:18" ht="15">
      <c r="A45" s="173"/>
      <c r="B45" s="173"/>
      <c r="C45" s="173"/>
      <c r="D45" s="173"/>
      <c r="E45" s="173"/>
      <c r="F45" s="173"/>
      <c r="G45" s="173"/>
      <c r="H45" s="173"/>
      <c r="I45" s="143"/>
      <c r="J45" s="143"/>
      <c r="K45" s="143"/>
      <c r="L45" s="143"/>
      <c r="M45" s="143"/>
      <c r="N45" s="143"/>
      <c r="O45" s="143"/>
      <c r="P45" s="143"/>
      <c r="Q45" s="143"/>
      <c r="R45" s="143"/>
    </row>
    <row r="47" spans="2:7" ht="15">
      <c r="B47" s="174" t="s">
        <v>208</v>
      </c>
      <c r="C47" s="174"/>
      <c r="D47" s="174"/>
      <c r="E47" s="174"/>
      <c r="F47" s="174"/>
      <c r="G47" s="174"/>
    </row>
  </sheetData>
  <sheetProtection password="DC55" sheet="1" objects="1" scenarios="1" formatCells="0" formatColumns="0" formatRows="0" insertColumns="0" insertRows="0" insertHyperlinks="0" deleteColumns="0" deleteRows="0" selectLockedCells="1" sort="0"/>
  <mergeCells count="2">
    <mergeCell ref="B47:G47"/>
    <mergeCell ref="A37:H45"/>
  </mergeCells>
  <printOptions horizontalCentered="1"/>
  <pageMargins left="0.7" right="0.7" top="0.75" bottom="0.75" header="0.3" footer="0.3"/>
  <pageSetup fitToHeight="1" fitToWidth="1" horizontalDpi="600" verticalDpi="600" orientation="landscape" scale="73" r:id="rId1"/>
  <headerFooter>
    <oddHeader>&amp;C&amp;"-,Bold"&amp;24&amp;UProject Victories Project Selection Tool</oddHeader>
    <oddFooter>&amp;CCopyright The Volpe Consortium, Inc.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47"/>
  <sheetViews>
    <sheetView view="pageLayout" workbookViewId="0" topLeftCell="A19">
      <selection activeCell="A2" sqref="A2"/>
    </sheetView>
  </sheetViews>
  <sheetFormatPr defaultColWidth="9.140625" defaultRowHeight="15"/>
  <cols>
    <col min="1" max="1" width="28.00390625" style="0" customWidth="1"/>
    <col min="2" max="2" width="14.28125" style="0" bestFit="1" customWidth="1"/>
    <col min="3" max="4" width="15.003906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56"/>
      <c r="B1" s="100" t="s">
        <v>15</v>
      </c>
      <c r="C1" s="100" t="s">
        <v>35</v>
      </c>
      <c r="D1" s="100" t="s">
        <v>54</v>
      </c>
      <c r="E1" s="114"/>
      <c r="F1" s="114"/>
      <c r="G1" s="114"/>
      <c r="H1" s="115"/>
      <c r="K1" s="162"/>
      <c r="L1" s="162"/>
      <c r="M1" s="162"/>
      <c r="N1" s="162"/>
      <c r="O1" s="162"/>
      <c r="P1" s="162"/>
      <c r="Q1" s="162"/>
      <c r="R1" s="170"/>
    </row>
    <row r="2" spans="1:18" ht="18.75">
      <c r="A2" s="132" t="s">
        <v>201</v>
      </c>
      <c r="B2" s="135">
        <f>Calcs!E22</f>
        <v>11.504463131543012</v>
      </c>
      <c r="C2" s="135">
        <f>Calcs!F22</f>
        <v>4.995536868456988</v>
      </c>
      <c r="D2" s="111">
        <f>B2+C2</f>
        <v>16.5</v>
      </c>
      <c r="E2" s="73"/>
      <c r="F2" s="73"/>
      <c r="G2" s="73"/>
      <c r="H2" s="74"/>
      <c r="K2" s="162"/>
      <c r="L2" s="162"/>
      <c r="M2" s="162"/>
      <c r="N2" s="162"/>
      <c r="O2" s="162"/>
      <c r="P2" s="162"/>
      <c r="Q2" s="162"/>
      <c r="R2" s="163"/>
    </row>
    <row r="3" spans="1:18" ht="15">
      <c r="A3" s="132" t="s">
        <v>202</v>
      </c>
      <c r="B3" s="135">
        <f>Calcs!E23</f>
        <v>138</v>
      </c>
      <c r="C3" s="135">
        <f>Calcs!F23</f>
        <v>60</v>
      </c>
      <c r="D3" s="111">
        <f>SUM(B3:C3)</f>
        <v>198</v>
      </c>
      <c r="E3" s="73"/>
      <c r="F3" s="73"/>
      <c r="G3" s="73"/>
      <c r="H3" s="74"/>
      <c r="K3" s="164"/>
      <c r="L3" s="165"/>
      <c r="M3" s="165"/>
      <c r="N3" s="165"/>
      <c r="O3" s="165"/>
      <c r="P3" s="165"/>
      <c r="Q3" s="165"/>
      <c r="R3" s="165"/>
    </row>
    <row r="4" spans="1:18" ht="15">
      <c r="A4" s="132" t="s">
        <v>203</v>
      </c>
      <c r="B4" s="140">
        <v>0</v>
      </c>
      <c r="C4" s="140">
        <v>1</v>
      </c>
      <c r="D4" s="140">
        <v>1</v>
      </c>
      <c r="E4" s="140">
        <v>2</v>
      </c>
      <c r="F4" s="140">
        <v>4</v>
      </c>
      <c r="G4" s="140">
        <v>5</v>
      </c>
      <c r="H4" s="161"/>
      <c r="K4" s="129"/>
      <c r="L4" s="166"/>
      <c r="M4" s="166"/>
      <c r="N4" s="166"/>
      <c r="O4" s="166"/>
      <c r="P4" s="166"/>
      <c r="Q4" s="166"/>
      <c r="R4" s="166"/>
    </row>
    <row r="5" spans="1:18" ht="15">
      <c r="A5" s="132" t="s">
        <v>204</v>
      </c>
      <c r="B5" s="112">
        <f>'FY 0 Worst'!N5</f>
        <v>0</v>
      </c>
      <c r="C5" s="112">
        <f>'FY 1 Worst'!N5</f>
        <v>1936</v>
      </c>
      <c r="D5" s="112">
        <f>'FY 2 Worst'!N5</f>
        <v>17312.716137933225</v>
      </c>
      <c r="E5" s="112">
        <f>'FY 3 Worst'!N5</f>
        <v>38605.03972399722</v>
      </c>
      <c r="F5" s="112">
        <f>'FY 4 Worst'!N5</f>
        <v>69329.10480467601</v>
      </c>
      <c r="G5" s="112">
        <f>'FY 5 Worst'!N5</f>
        <v>108896.75682167994</v>
      </c>
      <c r="H5" s="31">
        <f>SUM(B5:G5)</f>
        <v>236079.6174882864</v>
      </c>
      <c r="K5" s="129"/>
      <c r="L5" s="129"/>
      <c r="M5" s="129"/>
      <c r="N5" s="129"/>
      <c r="O5" s="129"/>
      <c r="P5" s="129"/>
      <c r="Q5" s="129"/>
      <c r="R5" s="128"/>
    </row>
    <row r="6" spans="1:18" ht="15">
      <c r="A6" s="132" t="s">
        <v>68</v>
      </c>
      <c r="B6" s="137" t="s">
        <v>75</v>
      </c>
      <c r="C6" s="137" t="s">
        <v>69</v>
      </c>
      <c r="D6" s="137" t="s">
        <v>73</v>
      </c>
      <c r="E6" s="137" t="s">
        <v>74</v>
      </c>
      <c r="F6" s="137" t="s">
        <v>76</v>
      </c>
      <c r="G6" s="137" t="s">
        <v>77</v>
      </c>
      <c r="H6" s="157" t="s">
        <v>200</v>
      </c>
      <c r="K6" s="129"/>
      <c r="L6" s="166"/>
      <c r="M6" s="166"/>
      <c r="N6" s="166"/>
      <c r="O6" s="166"/>
      <c r="P6" s="166"/>
      <c r="Q6" s="166"/>
      <c r="R6" s="166"/>
    </row>
    <row r="7" spans="1:18" ht="15">
      <c r="A7" s="132" t="s">
        <v>55</v>
      </c>
      <c r="B7" s="30">
        <f>'FY 0 Worst'!N7</f>
        <v>0</v>
      </c>
      <c r="C7" s="30">
        <f>'FY 1 Worst'!N7</f>
        <v>383328</v>
      </c>
      <c r="D7" s="30">
        <f>'FY 2 Worst'!N7</f>
        <v>3427917.7953107785</v>
      </c>
      <c r="E7" s="30">
        <f>'FY 3 Worst'!N7</f>
        <v>7643797.86535145</v>
      </c>
      <c r="F7" s="30">
        <f>'FY 4 Worst'!N7</f>
        <v>13727162.751325851</v>
      </c>
      <c r="G7" s="30">
        <f>'FY 5 Worst'!N7</f>
        <v>21561557.850692634</v>
      </c>
      <c r="H7" s="31">
        <f>SUM(B7:G7)</f>
        <v>46743764.26268071</v>
      </c>
      <c r="K7" s="129"/>
      <c r="L7" s="166"/>
      <c r="M7" s="166"/>
      <c r="N7" s="166"/>
      <c r="O7" s="166"/>
      <c r="P7" s="166"/>
      <c r="Q7" s="166"/>
      <c r="R7" s="165"/>
    </row>
    <row r="8" spans="1:18" ht="15">
      <c r="A8" s="156"/>
      <c r="B8" s="35"/>
      <c r="C8" s="35"/>
      <c r="D8" s="35"/>
      <c r="E8" s="35"/>
      <c r="F8" s="35"/>
      <c r="G8" s="35"/>
      <c r="H8" s="36"/>
      <c r="K8" s="129"/>
      <c r="L8" s="166"/>
      <c r="M8" s="166"/>
      <c r="N8" s="166"/>
      <c r="O8" s="166"/>
      <c r="P8" s="166"/>
      <c r="Q8" s="166"/>
      <c r="R8" s="166"/>
    </row>
    <row r="9" spans="1:18" ht="15">
      <c r="A9" s="132" t="s">
        <v>56</v>
      </c>
      <c r="B9" s="30">
        <f>'FY 0 Worst'!N9</f>
        <v>0</v>
      </c>
      <c r="C9" s="30">
        <f>'FY 1 Worst'!N9</f>
        <v>267168</v>
      </c>
      <c r="D9" s="30">
        <f>'FY 2 Worst'!N9</f>
        <v>2389154.827034785</v>
      </c>
      <c r="E9" s="30">
        <f>'FY 3 Worst'!N9</f>
        <v>5327495.481911616</v>
      </c>
      <c r="F9" s="30">
        <f>'FY 4 Worst'!N9</f>
        <v>9567416.46304529</v>
      </c>
      <c r="G9" s="30">
        <f>'FY 5 Worst'!N9</f>
        <v>15027752.441391835</v>
      </c>
      <c r="H9" s="31">
        <f>SUM(B9:G9)</f>
        <v>32578987.213383526</v>
      </c>
      <c r="K9" s="129"/>
      <c r="L9" s="166"/>
      <c r="M9" s="166"/>
      <c r="N9" s="166"/>
      <c r="O9" s="166"/>
      <c r="P9" s="166"/>
      <c r="Q9" s="166"/>
      <c r="R9" s="166"/>
    </row>
    <row r="10" spans="1:18" ht="15">
      <c r="A10" s="132" t="s">
        <v>199</v>
      </c>
      <c r="B10" s="30">
        <f>'FY 0 Worst'!N10</f>
        <v>25000</v>
      </c>
      <c r="C10" s="30">
        <f>'FY 1 Worst'!N10</f>
        <v>0</v>
      </c>
      <c r="D10" s="30">
        <f>'FY 2 Worst'!N10</f>
        <v>0</v>
      </c>
      <c r="E10" s="30">
        <f>'FY 3 Worst'!N10</f>
        <v>0</v>
      </c>
      <c r="F10" s="30">
        <f>'FY 4 Worst'!N10</f>
        <v>0</v>
      </c>
      <c r="G10" s="30">
        <f>'FY 5 Worst'!N10</f>
        <v>0</v>
      </c>
      <c r="H10" s="31">
        <f aca="true" t="shared" si="0" ref="H10:H33">SUM(B10:G10)</f>
        <v>25000</v>
      </c>
      <c r="K10" s="129"/>
      <c r="L10" s="167"/>
      <c r="M10" s="167"/>
      <c r="N10" s="167"/>
      <c r="O10" s="167"/>
      <c r="P10" s="167"/>
      <c r="Q10" s="167"/>
      <c r="R10" s="167"/>
    </row>
    <row r="11" spans="1:18" ht="15">
      <c r="A11" s="132" t="s">
        <v>188</v>
      </c>
      <c r="B11" s="30">
        <f>'FY 0 Worst'!N11</f>
        <v>0</v>
      </c>
      <c r="C11" s="30">
        <f>'FY 1 Worst'!N11</f>
        <v>200000</v>
      </c>
      <c r="D11" s="30">
        <f>'FY 2 Worst'!N11</f>
        <v>200000</v>
      </c>
      <c r="E11" s="30">
        <f>'FY 3 Worst'!N11</f>
        <v>200000</v>
      </c>
      <c r="F11" s="30">
        <f>'FY 4 Worst'!N11</f>
        <v>200000</v>
      </c>
      <c r="G11" s="30">
        <f>'FY 5 Worst'!N11</f>
        <v>200000</v>
      </c>
      <c r="H11" s="31">
        <f t="shared" si="0"/>
        <v>1000000</v>
      </c>
      <c r="K11" s="129"/>
      <c r="L11" s="128"/>
      <c r="M11" s="128"/>
      <c r="N11" s="128"/>
      <c r="O11" s="128"/>
      <c r="P11" s="128"/>
      <c r="Q11" s="128"/>
      <c r="R11" s="128"/>
    </row>
    <row r="12" spans="1:18" ht="15">
      <c r="A12" s="132" t="s">
        <v>196</v>
      </c>
      <c r="B12" s="30">
        <f>'FY 0 Worst'!N12</f>
        <v>0</v>
      </c>
      <c r="C12" s="30">
        <f>'FY 1 Worst'!N12</f>
        <v>0</v>
      </c>
      <c r="D12" s="30">
        <f>'FY 2 Worst'!N12</f>
        <v>0</v>
      </c>
      <c r="E12" s="30">
        <f>'FY 3 Worst'!N12</f>
        <v>0</v>
      </c>
      <c r="F12" s="30">
        <f>'FY 4 Worst'!N12</f>
        <v>0</v>
      </c>
      <c r="G12" s="30">
        <f>'FY 5 Worst'!N12</f>
        <v>0</v>
      </c>
      <c r="H12" s="31">
        <f t="shared" si="0"/>
        <v>0</v>
      </c>
      <c r="K12" s="129"/>
      <c r="L12" s="128"/>
      <c r="M12" s="128"/>
      <c r="N12" s="128"/>
      <c r="O12" s="128"/>
      <c r="P12" s="128"/>
      <c r="Q12" s="128"/>
      <c r="R12" s="128"/>
    </row>
    <row r="13" spans="1:18" ht="15">
      <c r="A13" s="132" t="s">
        <v>47</v>
      </c>
      <c r="B13" s="30">
        <f>'FY 0 Worst'!N13</f>
        <v>36000</v>
      </c>
      <c r="C13" s="30">
        <f>'FY 1 Worst'!N13</f>
        <v>36000</v>
      </c>
      <c r="D13" s="30">
        <f>'FY 2 Worst'!N13</f>
        <v>102000</v>
      </c>
      <c r="E13" s="30">
        <f>'FY 3 Worst'!N13</f>
        <v>300000</v>
      </c>
      <c r="F13" s="30">
        <f>'FY 4 Worst'!N13</f>
        <v>300000</v>
      </c>
      <c r="G13" s="30">
        <f>'FY 5 Worst'!N13</f>
        <v>300000</v>
      </c>
      <c r="H13" s="31">
        <f t="shared" si="0"/>
        <v>1074000</v>
      </c>
      <c r="K13" s="129"/>
      <c r="L13" s="128"/>
      <c r="M13" s="128"/>
      <c r="N13" s="128"/>
      <c r="O13" s="128"/>
      <c r="P13" s="128"/>
      <c r="Q13" s="128"/>
      <c r="R13" s="128"/>
    </row>
    <row r="14" spans="1:18" ht="15">
      <c r="A14" s="132" t="s">
        <v>205</v>
      </c>
      <c r="B14" s="30">
        <f>'FY 0 Worst'!N14</f>
        <v>0</v>
      </c>
      <c r="C14" s="30">
        <f>'FY 1 Worst'!N14</f>
        <v>10000</v>
      </c>
      <c r="D14" s="30">
        <f>'FY 2 Worst'!N14</f>
        <v>0</v>
      </c>
      <c r="E14" s="30">
        <f>'FY 3 Worst'!N14</f>
        <v>0</v>
      </c>
      <c r="F14" s="30">
        <f>'FY 4 Worst'!N14</f>
        <v>0</v>
      </c>
      <c r="G14" s="30">
        <f>'FY 5 Worst'!N14</f>
        <v>0</v>
      </c>
      <c r="H14" s="31">
        <f t="shared" si="0"/>
        <v>10000</v>
      </c>
      <c r="K14" s="129"/>
      <c r="L14" s="128"/>
      <c r="M14" s="128"/>
      <c r="N14" s="128"/>
      <c r="O14" s="128"/>
      <c r="P14" s="128"/>
      <c r="Q14" s="128"/>
      <c r="R14" s="128"/>
    </row>
    <row r="15" spans="1:18" ht="15">
      <c r="A15" s="132" t="s">
        <v>189</v>
      </c>
      <c r="B15" s="30">
        <f>'FY 0 Worst'!N15</f>
        <v>0</v>
      </c>
      <c r="C15" s="30">
        <f>'FY 1 Worst'!N15</f>
        <v>27150</v>
      </c>
      <c r="D15" s="30">
        <f>'FY 2 Worst'!N15</f>
        <v>54300</v>
      </c>
      <c r="E15" s="30">
        <f>'FY 3 Worst'!N15</f>
        <v>108600</v>
      </c>
      <c r="F15" s="30">
        <f>'FY 4 Worst'!N15</f>
        <v>158375</v>
      </c>
      <c r="G15" s="30">
        <f>'FY 5 Worst'!N15</f>
        <v>235300</v>
      </c>
      <c r="H15" s="31">
        <f t="shared" si="0"/>
        <v>583725</v>
      </c>
      <c r="K15" s="129"/>
      <c r="L15" s="128"/>
      <c r="M15" s="128"/>
      <c r="N15" s="128"/>
      <c r="O15" s="128"/>
      <c r="P15" s="128"/>
      <c r="Q15" s="128"/>
      <c r="R15" s="128"/>
    </row>
    <row r="16" spans="1:18" ht="15">
      <c r="A16" s="132" t="s">
        <v>190</v>
      </c>
      <c r="B16" s="30">
        <f>'FY 0 Worst'!N16</f>
        <v>0</v>
      </c>
      <c r="C16" s="30">
        <f>'FY 1 Worst'!N16</f>
        <v>9050</v>
      </c>
      <c r="D16" s="30">
        <f>'FY 2 Worst'!N16</f>
        <v>54300</v>
      </c>
      <c r="E16" s="30">
        <f>'FY 3 Worst'!N16</f>
        <v>85975</v>
      </c>
      <c r="F16" s="30">
        <f>'FY 4 Worst'!N16</f>
        <v>140275</v>
      </c>
      <c r="G16" s="30">
        <f>'FY 5 Worst'!N16</f>
        <v>221725</v>
      </c>
      <c r="H16" s="31">
        <f t="shared" si="0"/>
        <v>511325</v>
      </c>
      <c r="K16" s="168"/>
      <c r="L16" s="169"/>
      <c r="M16" s="169"/>
      <c r="N16" s="169"/>
      <c r="O16" s="169"/>
      <c r="P16" s="169"/>
      <c r="Q16" s="169"/>
      <c r="R16" s="169"/>
    </row>
    <row r="17" spans="1:8" ht="15">
      <c r="A17" s="132" t="s">
        <v>191</v>
      </c>
      <c r="B17" s="30">
        <f>'FY 0 Worst'!N17</f>
        <v>0</v>
      </c>
      <c r="C17" s="30">
        <f>'FY 1 Worst'!N17</f>
        <v>0</v>
      </c>
      <c r="D17" s="30">
        <f>'FY 2 Worst'!N17</f>
        <v>31675</v>
      </c>
      <c r="E17" s="30">
        <f>'FY 3 Worst'!N17</f>
        <v>67875</v>
      </c>
      <c r="F17" s="30">
        <f>'FY 4 Worst'!N17</f>
        <v>131225</v>
      </c>
      <c r="G17" s="30">
        <f>'FY 5 Worst'!N17</f>
        <v>199100</v>
      </c>
      <c r="H17" s="31">
        <f t="shared" si="0"/>
        <v>429875</v>
      </c>
    </row>
    <row r="18" spans="1:8" ht="15">
      <c r="A18" s="132" t="s">
        <v>192</v>
      </c>
      <c r="B18" s="30">
        <f>'FY 0 Worst'!N18</f>
        <v>0</v>
      </c>
      <c r="C18" s="30">
        <f>'FY 1 Worst'!N18</f>
        <v>0</v>
      </c>
      <c r="D18" s="30">
        <f>'FY 2 Worst'!N18</f>
        <v>13575</v>
      </c>
      <c r="E18" s="30">
        <f>'FY 3 Worst'!N18</f>
        <v>54300</v>
      </c>
      <c r="F18" s="30">
        <f>'FY 4 Worst'!N18</f>
        <v>122175</v>
      </c>
      <c r="G18" s="30">
        <f>'FY 5 Worst'!N18</f>
        <v>190050</v>
      </c>
      <c r="H18" s="31">
        <f t="shared" si="0"/>
        <v>380100</v>
      </c>
    </row>
    <row r="19" spans="1:8" ht="15">
      <c r="A19" s="132" t="s">
        <v>194</v>
      </c>
      <c r="B19" s="30">
        <f>'FY 0 Worst'!N19</f>
        <v>0</v>
      </c>
      <c r="C19" s="30">
        <f>'FY 1 Worst'!N19</f>
        <v>35200</v>
      </c>
      <c r="D19" s="30">
        <f>'FY 2 Worst'!N19</f>
        <v>105600</v>
      </c>
      <c r="E19" s="30">
        <f>'FY 3 Worst'!N19</f>
        <v>105600</v>
      </c>
      <c r="F19" s="30">
        <f>'FY 4 Worst'!N19</f>
        <v>105600</v>
      </c>
      <c r="G19" s="30">
        <f>'FY 5 Worst'!N19</f>
        <v>105600</v>
      </c>
      <c r="H19" s="31">
        <f t="shared" si="0"/>
        <v>457600</v>
      </c>
    </row>
    <row r="20" spans="1:8" ht="15">
      <c r="A20" s="132" t="s">
        <v>193</v>
      </c>
      <c r="B20" s="30">
        <f>'FY 0 Worst'!N20</f>
        <v>0</v>
      </c>
      <c r="C20" s="30">
        <f>'FY 1 Worst'!N20</f>
        <v>0</v>
      </c>
      <c r="D20" s="30">
        <f>'FY 2 Worst'!N20</f>
        <v>44000</v>
      </c>
      <c r="E20" s="30">
        <f>'FY 3 Worst'!N20</f>
        <v>105600</v>
      </c>
      <c r="F20" s="30">
        <f>'FY 4 Worst'!N20</f>
        <v>105600</v>
      </c>
      <c r="G20" s="30">
        <f>'FY 5 Worst'!N20</f>
        <v>105600</v>
      </c>
      <c r="H20" s="31">
        <f t="shared" si="0"/>
        <v>360800</v>
      </c>
    </row>
    <row r="21" spans="1:8" ht="15">
      <c r="A21" s="132" t="s">
        <v>206</v>
      </c>
      <c r="B21" s="30">
        <f>'FY 0 Worst'!N21</f>
        <v>132000</v>
      </c>
      <c r="C21" s="30">
        <f>'FY 1 Worst'!N21</f>
        <v>132000</v>
      </c>
      <c r="D21" s="30">
        <f>'FY 2 Worst'!N21</f>
        <v>132000</v>
      </c>
      <c r="E21" s="30">
        <f>'FY 3 Worst'!N21</f>
        <v>132000</v>
      </c>
      <c r="F21" s="30">
        <f>'FY 4 Worst'!N21</f>
        <v>132000</v>
      </c>
      <c r="G21" s="30">
        <f>'FY 5 Worst'!N21</f>
        <v>132000</v>
      </c>
      <c r="H21" s="31">
        <f t="shared" si="0"/>
        <v>792000</v>
      </c>
    </row>
    <row r="22" spans="1:8" ht="15">
      <c r="A22" s="132" t="s">
        <v>67</v>
      </c>
      <c r="B22" s="30">
        <f>'FY 0 Worst'!N22</f>
        <v>33000</v>
      </c>
      <c r="C22" s="30">
        <f>'FY 1 Worst'!N22</f>
        <v>90750</v>
      </c>
      <c r="D22" s="30">
        <f>'FY 2 Worst'!N22</f>
        <v>132000</v>
      </c>
      <c r="E22" s="30">
        <f>'FY 3 Worst'!N22</f>
        <v>132000</v>
      </c>
      <c r="F22" s="30">
        <f>'FY 4 Worst'!N22</f>
        <v>132000</v>
      </c>
      <c r="G22" s="30">
        <f>'FY 5 Worst'!N22</f>
        <v>132000</v>
      </c>
      <c r="H22" s="31">
        <f t="shared" si="0"/>
        <v>651750</v>
      </c>
    </row>
    <row r="23" spans="1:8" ht="15">
      <c r="A23" s="132" t="s">
        <v>43</v>
      </c>
      <c r="B23" s="30">
        <f>'FY 0 Worst'!N23</f>
        <v>0</v>
      </c>
      <c r="C23" s="30">
        <f>'FY 1 Worst'!N23</f>
        <v>0</v>
      </c>
      <c r="D23" s="30">
        <f>'FY 2 Worst'!N23</f>
        <v>120000</v>
      </c>
      <c r="E23" s="30">
        <f>'FY 3 Worst'!N23</f>
        <v>120000</v>
      </c>
      <c r="F23" s="30">
        <f>'FY 4 Worst'!N23</f>
        <v>120000</v>
      </c>
      <c r="G23" s="30">
        <f>'FY 5 Worst'!N23</f>
        <v>120000</v>
      </c>
      <c r="H23" s="31">
        <f t="shared" si="0"/>
        <v>480000</v>
      </c>
    </row>
    <row r="24" spans="1:8" ht="15">
      <c r="A24" s="132" t="s">
        <v>62</v>
      </c>
      <c r="B24" s="30">
        <f>'FY 0 Worst'!N24</f>
        <v>0</v>
      </c>
      <c r="C24" s="30">
        <f>'FY 1 Worst'!N24</f>
        <v>15000</v>
      </c>
      <c r="D24" s="30">
        <f>'FY 2 Worst'!N24</f>
        <v>30000</v>
      </c>
      <c r="E24" s="30">
        <f>'FY 3 Worst'!N24</f>
        <v>30000</v>
      </c>
      <c r="F24" s="30">
        <f>'FY 4 Worst'!N24</f>
        <v>30000</v>
      </c>
      <c r="G24" s="30">
        <f>'FY 5 Worst'!N24</f>
        <v>30000</v>
      </c>
      <c r="H24" s="31">
        <f t="shared" si="0"/>
        <v>135000</v>
      </c>
    </row>
    <row r="25" spans="1:8" ht="15">
      <c r="A25" s="132" t="s">
        <v>96</v>
      </c>
      <c r="B25" s="30">
        <f>'FY 0 Worst'!N25</f>
        <v>42000</v>
      </c>
      <c r="C25" s="30">
        <f>'FY 1 Worst'!N25</f>
        <v>141000</v>
      </c>
      <c r="D25" s="30">
        <f>'FY 2 Worst'!N25</f>
        <v>240000</v>
      </c>
      <c r="E25" s="30">
        <f>'FY 3 Worst'!N25</f>
        <v>480000</v>
      </c>
      <c r="F25" s="30">
        <f>'FY 4 Worst'!N25</f>
        <v>480000</v>
      </c>
      <c r="G25" s="30">
        <f>'FY 5 Worst'!N25</f>
        <v>480000</v>
      </c>
      <c r="H25" s="31">
        <f t="shared" si="0"/>
        <v>1863000</v>
      </c>
    </row>
    <row r="26" spans="1:8" ht="15">
      <c r="A26" s="132" t="s">
        <v>45</v>
      </c>
      <c r="B26" s="30">
        <f>'FY 0 Worst'!N26</f>
        <v>6000</v>
      </c>
      <c r="C26" s="30">
        <f>'FY 1 Worst'!N26</f>
        <v>24000</v>
      </c>
      <c r="D26" s="30">
        <f>'FY 2 Worst'!N26</f>
        <v>72000</v>
      </c>
      <c r="E26" s="30">
        <f>'FY 3 Worst'!N26</f>
        <v>72000</v>
      </c>
      <c r="F26" s="30">
        <f>'FY 4 Worst'!N26</f>
        <v>72000</v>
      </c>
      <c r="G26" s="30">
        <f>'FY 5 Worst'!N26</f>
        <v>72000</v>
      </c>
      <c r="H26" s="31">
        <f t="shared" si="0"/>
        <v>318000</v>
      </c>
    </row>
    <row r="27" spans="1:8" ht="15">
      <c r="A27" s="132" t="s">
        <v>46</v>
      </c>
      <c r="B27" s="30">
        <f>'FY 0 Worst'!N27</f>
        <v>3000</v>
      </c>
      <c r="C27" s="30">
        <f>'FY 1 Worst'!N27</f>
        <v>7672.21</v>
      </c>
      <c r="D27" s="30">
        <f>'FY 2 Worst'!N27</f>
        <v>13613.303999999996</v>
      </c>
      <c r="E27" s="30">
        <f>'FY 3 Worst'!N27</f>
        <v>15226.608</v>
      </c>
      <c r="F27" s="30">
        <f>'FY 4 Worst'!N27</f>
        <v>16705.470000000005</v>
      </c>
      <c r="G27" s="30">
        <f>'FY 5 Worst'!N27</f>
        <v>18990.983999999997</v>
      </c>
      <c r="H27" s="31">
        <f t="shared" si="0"/>
        <v>75208.576</v>
      </c>
    </row>
    <row r="28" spans="1:8" ht="15">
      <c r="A28" s="132" t="s">
        <v>48</v>
      </c>
      <c r="B28" s="30">
        <f>'FY 0 Worst'!N28</f>
        <v>18000</v>
      </c>
      <c r="C28" s="30">
        <f>'FY 1 Worst'!N28</f>
        <v>69000</v>
      </c>
      <c r="D28" s="30">
        <f>'FY 2 Worst'!N28</f>
        <v>120000</v>
      </c>
      <c r="E28" s="30">
        <f>'FY 3 Worst'!N28</f>
        <v>120000</v>
      </c>
      <c r="F28" s="30">
        <f>'FY 4 Worst'!N28</f>
        <v>120000</v>
      </c>
      <c r="G28" s="30">
        <f>'FY 5 Worst'!N28</f>
        <v>120000</v>
      </c>
      <c r="H28" s="31">
        <f t="shared" si="0"/>
        <v>567000</v>
      </c>
    </row>
    <row r="29" spans="1:8" ht="15">
      <c r="A29" s="132" t="s">
        <v>50</v>
      </c>
      <c r="B29" s="30">
        <f>'FY 0 Worst'!N29</f>
        <v>0</v>
      </c>
      <c r="C29" s="30">
        <f>'FY 1 Worst'!N29</f>
        <v>7500</v>
      </c>
      <c r="D29" s="30">
        <f>'FY 2 Worst'!N29</f>
        <v>18000</v>
      </c>
      <c r="E29" s="30">
        <f>'FY 3 Worst'!N29</f>
        <v>18000</v>
      </c>
      <c r="F29" s="30">
        <f>'FY 4 Worst'!N29</f>
        <v>18000</v>
      </c>
      <c r="G29" s="30">
        <f>'FY 5 Worst'!N29</f>
        <v>18000</v>
      </c>
      <c r="H29" s="31">
        <f t="shared" si="0"/>
        <v>79500</v>
      </c>
    </row>
    <row r="30" spans="1:8" ht="15">
      <c r="A30" s="132" t="s">
        <v>195</v>
      </c>
      <c r="B30" s="30">
        <f>'FY 0 Worst'!N30</f>
        <v>0</v>
      </c>
      <c r="C30" s="30">
        <f>'FY 1 Worst'!N30</f>
        <v>20004</v>
      </c>
      <c r="D30" s="30">
        <f>'FY 2 Worst'!N30</f>
        <v>20004</v>
      </c>
      <c r="E30" s="30">
        <f>'FY 3 Worst'!N30</f>
        <v>20004</v>
      </c>
      <c r="F30" s="30">
        <f>'FY 4 Worst'!N30</f>
        <v>20004</v>
      </c>
      <c r="G30" s="30">
        <f>'FY 5 Worst'!N30</f>
        <v>20004</v>
      </c>
      <c r="H30" s="31">
        <f t="shared" si="0"/>
        <v>100020</v>
      </c>
    </row>
    <row r="31" spans="1:8" ht="15">
      <c r="A31" s="132" t="s">
        <v>198</v>
      </c>
      <c r="B31" s="30">
        <f>'FY 0 Worst'!N31</f>
        <v>0</v>
      </c>
      <c r="C31" s="30">
        <f>'FY 1 Worst'!N31</f>
        <v>47436</v>
      </c>
      <c r="D31" s="30">
        <f>'FY 2 Worst'!N31</f>
        <v>95312.71613793322</v>
      </c>
      <c r="E31" s="30">
        <f>'FY 3 Worst'!N31</f>
        <v>116605.03972399724</v>
      </c>
      <c r="F31" s="30">
        <f>'FY 4 Worst'!N31</f>
        <v>147329.10480467603</v>
      </c>
      <c r="G31" s="30">
        <f>'FY 5 Worst'!N31</f>
        <v>186896.75682167994</v>
      </c>
      <c r="H31" s="31">
        <f t="shared" si="0"/>
        <v>593579.6174882865</v>
      </c>
    </row>
    <row r="32" spans="1:8" ht="15">
      <c r="A32" s="133" t="s">
        <v>59</v>
      </c>
      <c r="B32" s="30">
        <f>'FY 0 Worst'!N32</f>
        <v>0</v>
      </c>
      <c r="C32" s="30">
        <f>'FY 1 Worst'!N32</f>
        <v>23802.5</v>
      </c>
      <c r="D32" s="30">
        <f>'FY 2 Worst'!N32</f>
        <v>40806</v>
      </c>
      <c r="E32" s="30">
        <f>'FY 3 Worst'!N32</f>
        <v>40812</v>
      </c>
      <c r="F32" s="30">
        <f>'FY 4 Worst'!N32</f>
        <v>40817.5</v>
      </c>
      <c r="G32" s="30">
        <f>'FY 5 Worst'!N32</f>
        <v>40826</v>
      </c>
      <c r="H32" s="31">
        <f t="shared" si="0"/>
        <v>187064</v>
      </c>
    </row>
    <row r="33" spans="1:8" ht="15.75" thickBot="1">
      <c r="A33" s="133" t="s">
        <v>58</v>
      </c>
      <c r="B33" s="30">
        <f>'FY 0 Worst'!N33</f>
        <v>0</v>
      </c>
      <c r="C33" s="30">
        <f>'FY 1 Worst'!N33</f>
        <v>24768</v>
      </c>
      <c r="D33" s="30">
        <f>'FY 2 Worst'!N33</f>
        <v>49456.35806896661</v>
      </c>
      <c r="E33" s="30">
        <f>'FY 3 Worst'!N33</f>
        <v>60102.51986199861</v>
      </c>
      <c r="F33" s="30">
        <f>'FY 4 Worst'!N33</f>
        <v>75464.55240233801</v>
      </c>
      <c r="G33" s="30">
        <f>'FY 5 Worst'!N33</f>
        <v>95248.37841083997</v>
      </c>
      <c r="H33" s="31">
        <f t="shared" si="0"/>
        <v>305039.8087441432</v>
      </c>
    </row>
    <row r="34" spans="1:8" ht="15.75" thickBot="1">
      <c r="A34" s="134" t="s">
        <v>94</v>
      </c>
      <c r="B34" s="33">
        <f>'FY 0 Worst'!N34</f>
        <v>-295000</v>
      </c>
      <c r="C34" s="33">
        <f>'FY 1 Worst'!N34</f>
        <v>-804172.7100000002</v>
      </c>
      <c r="D34" s="33">
        <f>'FY 2 Worst'!N34</f>
        <v>-649879.4099309061</v>
      </c>
      <c r="E34" s="33">
        <f>'FY 3 Worst'!N34</f>
        <v>-68397.78414616222</v>
      </c>
      <c r="F34" s="33">
        <f>'FY 4 Worst'!N34</f>
        <v>1492175.661073547</v>
      </c>
      <c r="G34" s="33">
        <f>'FY 5 Worst'!N34</f>
        <v>3510464.2900682776</v>
      </c>
      <c r="H34" s="23">
        <f>SUM(B34:G34)</f>
        <v>3185190.047064756</v>
      </c>
    </row>
    <row r="35" ht="15">
      <c r="A35" s="172"/>
    </row>
    <row r="37" spans="1:18" ht="15">
      <c r="A37" s="173" t="s">
        <v>216</v>
      </c>
      <c r="B37" s="173"/>
      <c r="C37" s="173"/>
      <c r="D37" s="173"/>
      <c r="E37" s="173"/>
      <c r="F37" s="173"/>
      <c r="G37" s="173"/>
      <c r="H37" s="173"/>
      <c r="I37" s="142"/>
      <c r="J37" s="142"/>
      <c r="K37" s="142"/>
      <c r="L37" s="142"/>
      <c r="M37" s="142"/>
      <c r="N37" s="142"/>
      <c r="O37" s="142"/>
      <c r="P37" s="142"/>
      <c r="Q37" s="142"/>
      <c r="R37" s="142"/>
    </row>
    <row r="38" spans="1:18" ht="15">
      <c r="A38" s="173"/>
      <c r="B38" s="173"/>
      <c r="C38" s="173"/>
      <c r="D38" s="173"/>
      <c r="E38" s="173"/>
      <c r="F38" s="173"/>
      <c r="G38" s="173"/>
      <c r="H38" s="173"/>
      <c r="I38" s="142"/>
      <c r="J38" s="142"/>
      <c r="K38" s="142"/>
      <c r="L38" s="142"/>
      <c r="M38" s="142"/>
      <c r="N38" s="142"/>
      <c r="O38" s="142"/>
      <c r="P38" s="142"/>
      <c r="Q38" s="142"/>
      <c r="R38" s="142"/>
    </row>
    <row r="39" spans="1:18" ht="15">
      <c r="A39" s="173"/>
      <c r="B39" s="173"/>
      <c r="C39" s="173"/>
      <c r="D39" s="173"/>
      <c r="E39" s="173"/>
      <c r="F39" s="173"/>
      <c r="G39" s="173"/>
      <c r="H39" s="173"/>
      <c r="I39" s="142"/>
      <c r="J39" s="142"/>
      <c r="K39" s="142"/>
      <c r="L39" s="142"/>
      <c r="M39" s="142"/>
      <c r="N39" s="142"/>
      <c r="O39" s="142"/>
      <c r="P39" s="142"/>
      <c r="Q39" s="142"/>
      <c r="R39" s="142"/>
    </row>
    <row r="40" spans="1:18" ht="15">
      <c r="A40" s="173"/>
      <c r="B40" s="173"/>
      <c r="C40" s="173"/>
      <c r="D40" s="173"/>
      <c r="E40" s="173"/>
      <c r="F40" s="173"/>
      <c r="G40" s="173"/>
      <c r="H40" s="173"/>
      <c r="I40" s="142"/>
      <c r="J40" s="142"/>
      <c r="K40" s="142"/>
      <c r="L40" s="142"/>
      <c r="M40" s="142"/>
      <c r="N40" s="142"/>
      <c r="O40" s="142"/>
      <c r="P40" s="142"/>
      <c r="Q40" s="142"/>
      <c r="R40" s="142"/>
    </row>
    <row r="41" spans="1:18" ht="15">
      <c r="A41" s="173"/>
      <c r="B41" s="173"/>
      <c r="C41" s="173"/>
      <c r="D41" s="173"/>
      <c r="E41" s="173"/>
      <c r="F41" s="173"/>
      <c r="G41" s="173"/>
      <c r="H41" s="173"/>
      <c r="I41" s="142"/>
      <c r="J41" s="142"/>
      <c r="K41" s="142"/>
      <c r="L41" s="142"/>
      <c r="M41" s="142"/>
      <c r="N41" s="142"/>
      <c r="O41" s="142"/>
      <c r="P41" s="142"/>
      <c r="Q41" s="142"/>
      <c r="R41" s="142"/>
    </row>
    <row r="42" spans="1:8" ht="15">
      <c r="A42" s="173"/>
      <c r="B42" s="173"/>
      <c r="C42" s="173"/>
      <c r="D42" s="173"/>
      <c r="E42" s="173"/>
      <c r="F42" s="173"/>
      <c r="G42" s="173"/>
      <c r="H42" s="173"/>
    </row>
    <row r="43" spans="1:8" ht="15">
      <c r="A43" s="173"/>
      <c r="B43" s="173"/>
      <c r="C43" s="173"/>
      <c r="D43" s="173"/>
      <c r="E43" s="173"/>
      <c r="F43" s="173"/>
      <c r="G43" s="173"/>
      <c r="H43" s="173"/>
    </row>
    <row r="44" spans="1:8" ht="15">
      <c r="A44" s="173"/>
      <c r="B44" s="173"/>
      <c r="C44" s="173"/>
      <c r="D44" s="173"/>
      <c r="E44" s="173"/>
      <c r="F44" s="173"/>
      <c r="G44" s="173"/>
      <c r="H44" s="173"/>
    </row>
    <row r="45" spans="1:8" ht="15">
      <c r="A45" s="173"/>
      <c r="B45" s="173"/>
      <c r="C45" s="173"/>
      <c r="D45" s="173"/>
      <c r="E45" s="173"/>
      <c r="F45" s="173"/>
      <c r="G45" s="173"/>
      <c r="H45" s="173"/>
    </row>
    <row r="47" spans="2:7" ht="15">
      <c r="B47" s="174" t="s">
        <v>208</v>
      </c>
      <c r="C47" s="174"/>
      <c r="D47" s="174"/>
      <c r="E47" s="174"/>
      <c r="F47" s="174"/>
      <c r="G47" s="174"/>
    </row>
  </sheetData>
  <sheetProtection password="DC55" sheet="1" objects="1" scenarios="1" formatCells="0" formatColumns="0" formatRows="0" insertColumns="0" insertRows="0" insertHyperlinks="0" deleteColumns="0" deleteRows="0" selectLockedCells="1" sort="0"/>
  <mergeCells count="2">
    <mergeCell ref="A37:H45"/>
    <mergeCell ref="B47:G47"/>
  </mergeCells>
  <printOptions horizontalCentered="1"/>
  <pageMargins left="0.7" right="0.7" top="0.75" bottom="0.75" header="0.3" footer="0.3"/>
  <pageSetup fitToHeight="1" fitToWidth="1" horizontalDpi="600" verticalDpi="600" orientation="landscape" scale="73" r:id="rId1"/>
  <headerFooter>
    <oddHeader>&amp;C&amp;"-,Bold"&amp;24&amp;UProject Victories Project Selection Tool</oddHeader>
    <oddFooter>&amp;CCopyright The Volpe Consortium,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5"/>
  <sheetViews>
    <sheetView view="pageLayout" workbookViewId="0" topLeftCell="A19">
      <selection activeCell="A11" sqref="A11"/>
    </sheetView>
  </sheetViews>
  <sheetFormatPr defaultColWidth="9.140625" defaultRowHeight="15"/>
  <cols>
    <col min="1" max="1" width="27.57421875" style="0" customWidth="1"/>
    <col min="2" max="2" width="12.140625" style="0" customWidth="1"/>
    <col min="3" max="3" width="12.28125" style="0" customWidth="1"/>
    <col min="4" max="4" width="12.00390625" style="0" customWidth="1"/>
    <col min="5" max="5" width="12.57421875" style="0" customWidth="1"/>
    <col min="6" max="8" width="12.28125" style="0" customWidth="1"/>
    <col min="9" max="11" width="12.00390625" style="0" customWidth="1"/>
    <col min="12" max="12" width="12.140625" style="0" customWidth="1"/>
    <col min="13" max="13" width="13.28125" style="0" customWidth="1"/>
    <col min="14" max="14" width="13.421875" style="0" customWidth="1"/>
    <col min="15" max="15" width="12.57421875" style="0" bestFit="1" customWidth="1"/>
  </cols>
  <sheetData>
    <row r="1" spans="1:14" ht="15">
      <c r="A1" s="62"/>
      <c r="B1" s="100" t="s">
        <v>15</v>
      </c>
      <c r="C1" s="100" t="s">
        <v>35</v>
      </c>
      <c r="D1" s="100" t="s">
        <v>54</v>
      </c>
      <c r="E1" s="118"/>
      <c r="F1" s="118"/>
      <c r="G1" s="118"/>
      <c r="H1" s="118"/>
      <c r="I1" s="118"/>
      <c r="J1" s="118"/>
      <c r="K1" s="118"/>
      <c r="L1" s="118"/>
      <c r="M1" s="118"/>
      <c r="N1" s="119"/>
    </row>
    <row r="2" spans="1:14" ht="15">
      <c r="A2" s="132" t="s">
        <v>201</v>
      </c>
      <c r="B2" s="135">
        <f>Calcs!E22</f>
        <v>11.504463131543012</v>
      </c>
      <c r="C2" s="135">
        <f>Calcs!F22</f>
        <v>4.995536868456988</v>
      </c>
      <c r="D2" s="111">
        <f>B2+C2</f>
        <v>16.5</v>
      </c>
      <c r="E2" s="120"/>
      <c r="F2" s="120"/>
      <c r="G2" s="120"/>
      <c r="H2" s="120"/>
      <c r="I2" s="120"/>
      <c r="J2" s="120"/>
      <c r="K2" s="120"/>
      <c r="L2" s="120"/>
      <c r="M2" s="120"/>
      <c r="N2" s="121"/>
    </row>
    <row r="3" spans="1:14" ht="15">
      <c r="A3" s="132" t="s">
        <v>202</v>
      </c>
      <c r="B3" s="135">
        <f>Calcs!E23</f>
        <v>138</v>
      </c>
      <c r="C3" s="135">
        <f>Calcs!F23</f>
        <v>60</v>
      </c>
      <c r="D3" s="111">
        <f>SUM(B3:C3)</f>
        <v>198</v>
      </c>
      <c r="E3" s="120"/>
      <c r="F3" s="120"/>
      <c r="G3" s="120"/>
      <c r="H3" s="120"/>
      <c r="I3" s="120"/>
      <c r="J3" s="120"/>
      <c r="K3" s="120"/>
      <c r="L3" s="120"/>
      <c r="M3" s="120"/>
      <c r="N3" s="121"/>
    </row>
    <row r="4" spans="1:14" ht="15">
      <c r="A4" s="132" t="s">
        <v>203</v>
      </c>
      <c r="B4" s="136">
        <f>B5/600</f>
        <v>0</v>
      </c>
      <c r="C4" s="136">
        <f aca="true" t="shared" si="0" ref="C4:M4">C5/600</f>
        <v>0</v>
      </c>
      <c r="D4" s="136">
        <f t="shared" si="0"/>
        <v>0</v>
      </c>
      <c r="E4" s="136">
        <f t="shared" si="0"/>
        <v>0</v>
      </c>
      <c r="F4" s="136">
        <f t="shared" si="0"/>
        <v>0</v>
      </c>
      <c r="G4" s="136">
        <f t="shared" si="0"/>
        <v>0</v>
      </c>
      <c r="H4" s="136">
        <f t="shared" si="0"/>
        <v>0</v>
      </c>
      <c r="I4" s="136">
        <f t="shared" si="0"/>
        <v>0</v>
      </c>
      <c r="J4" s="136">
        <f t="shared" si="0"/>
        <v>0</v>
      </c>
      <c r="K4" s="136">
        <f t="shared" si="0"/>
        <v>0</v>
      </c>
      <c r="L4" s="136">
        <f t="shared" si="0"/>
        <v>0</v>
      </c>
      <c r="M4" s="136">
        <f t="shared" si="0"/>
        <v>0</v>
      </c>
      <c r="N4" s="74"/>
    </row>
    <row r="5" spans="1:14" ht="15">
      <c r="A5" s="132" t="s">
        <v>204</v>
      </c>
      <c r="B5" s="136">
        <v>0</v>
      </c>
      <c r="C5" s="136">
        <v>0</v>
      </c>
      <c r="D5" s="136">
        <v>0</v>
      </c>
      <c r="E5" s="136">
        <v>0</v>
      </c>
      <c r="F5" s="136">
        <v>0</v>
      </c>
      <c r="G5" s="136">
        <v>0</v>
      </c>
      <c r="H5" s="136">
        <v>0</v>
      </c>
      <c r="I5" s="136">
        <v>0</v>
      </c>
      <c r="J5" s="136">
        <v>0</v>
      </c>
      <c r="K5" s="136">
        <v>0</v>
      </c>
      <c r="L5" s="136">
        <v>0</v>
      </c>
      <c r="M5" s="136">
        <v>0</v>
      </c>
      <c r="N5" s="116">
        <f>SUM(B5:M5)</f>
        <v>0</v>
      </c>
    </row>
    <row r="6" spans="1:14" ht="15">
      <c r="A6" s="132" t="s">
        <v>57</v>
      </c>
      <c r="B6" s="137">
        <v>1</v>
      </c>
      <c r="C6" s="137">
        <v>2</v>
      </c>
      <c r="D6" s="137">
        <v>3</v>
      </c>
      <c r="E6" s="137">
        <v>4</v>
      </c>
      <c r="F6" s="137">
        <v>5</v>
      </c>
      <c r="G6" s="137">
        <v>6</v>
      </c>
      <c r="H6" s="137">
        <v>7</v>
      </c>
      <c r="I6" s="137">
        <v>8</v>
      </c>
      <c r="J6" s="137">
        <v>9</v>
      </c>
      <c r="K6" s="137">
        <v>10</v>
      </c>
      <c r="L6" s="137">
        <v>11</v>
      </c>
      <c r="M6" s="137">
        <v>12</v>
      </c>
      <c r="N6" s="74"/>
    </row>
    <row r="7" spans="1:15" ht="15">
      <c r="A7" s="132" t="s">
        <v>55</v>
      </c>
      <c r="B7" s="21">
        <f>B5*$D$3</f>
        <v>0</v>
      </c>
      <c r="C7" s="21">
        <f aca="true" t="shared" si="1" ref="C7:M7">C5*$D$3</f>
        <v>0</v>
      </c>
      <c r="D7" s="21">
        <f t="shared" si="1"/>
        <v>0</v>
      </c>
      <c r="E7" s="21">
        <f t="shared" si="1"/>
        <v>0</v>
      </c>
      <c r="F7" s="21">
        <f t="shared" si="1"/>
        <v>0</v>
      </c>
      <c r="G7" s="21">
        <f t="shared" si="1"/>
        <v>0</v>
      </c>
      <c r="H7" s="21">
        <f t="shared" si="1"/>
        <v>0</v>
      </c>
      <c r="I7" s="21">
        <f t="shared" si="1"/>
        <v>0</v>
      </c>
      <c r="J7" s="21">
        <f t="shared" si="1"/>
        <v>0</v>
      </c>
      <c r="K7" s="21">
        <f t="shared" si="1"/>
        <v>0</v>
      </c>
      <c r="L7" s="21">
        <f t="shared" si="1"/>
        <v>0</v>
      </c>
      <c r="M7" s="21">
        <f t="shared" si="1"/>
        <v>0</v>
      </c>
      <c r="N7" s="57">
        <f>SUM(B7:M7)</f>
        <v>0</v>
      </c>
      <c r="O7" s="2"/>
    </row>
    <row r="8" spans="1:14" ht="15">
      <c r="A8" s="122"/>
      <c r="B8" s="113"/>
      <c r="C8" s="113"/>
      <c r="D8" s="113"/>
      <c r="E8" s="113"/>
      <c r="F8" s="113"/>
      <c r="G8" s="113"/>
      <c r="H8" s="113"/>
      <c r="I8" s="113"/>
      <c r="J8" s="113"/>
      <c r="K8" s="113"/>
      <c r="L8" s="113"/>
      <c r="M8" s="113"/>
      <c r="N8" s="117"/>
    </row>
    <row r="9" spans="1:14" ht="15">
      <c r="A9" s="132" t="s">
        <v>56</v>
      </c>
      <c r="B9" s="21">
        <f>B5*$B$3</f>
        <v>0</v>
      </c>
      <c r="C9" s="21">
        <f aca="true" t="shared" si="2" ref="C9:M9">C5*$B$3</f>
        <v>0</v>
      </c>
      <c r="D9" s="21">
        <f t="shared" si="2"/>
        <v>0</v>
      </c>
      <c r="E9" s="21">
        <f t="shared" si="2"/>
        <v>0</v>
      </c>
      <c r="F9" s="21">
        <f t="shared" si="2"/>
        <v>0</v>
      </c>
      <c r="G9" s="21">
        <f t="shared" si="2"/>
        <v>0</v>
      </c>
      <c r="H9" s="21">
        <f t="shared" si="2"/>
        <v>0</v>
      </c>
      <c r="I9" s="21">
        <f t="shared" si="2"/>
        <v>0</v>
      </c>
      <c r="J9" s="21">
        <f t="shared" si="2"/>
        <v>0</v>
      </c>
      <c r="K9" s="21">
        <f t="shared" si="2"/>
        <v>0</v>
      </c>
      <c r="L9" s="21">
        <f t="shared" si="2"/>
        <v>0</v>
      </c>
      <c r="M9" s="21">
        <f t="shared" si="2"/>
        <v>0</v>
      </c>
      <c r="N9" s="57">
        <f>SUM(B9:M9)</f>
        <v>0</v>
      </c>
    </row>
    <row r="10" spans="1:14" ht="15">
      <c r="A10" s="132" t="s">
        <v>199</v>
      </c>
      <c r="B10" s="138">
        <v>25000</v>
      </c>
      <c r="C10" s="138"/>
      <c r="D10" s="138"/>
      <c r="E10" s="138"/>
      <c r="F10" s="138"/>
      <c r="G10" s="138"/>
      <c r="H10" s="138"/>
      <c r="I10" s="138"/>
      <c r="J10" s="138"/>
      <c r="K10" s="138"/>
      <c r="L10" s="138"/>
      <c r="M10" s="138"/>
      <c r="N10" s="57">
        <f>SUM(B10:M10)</f>
        <v>25000</v>
      </c>
    </row>
    <row r="11" spans="1:14" ht="15">
      <c r="A11" s="132" t="s">
        <v>188</v>
      </c>
      <c r="B11" s="138">
        <v>0</v>
      </c>
      <c r="C11" s="138">
        <v>0</v>
      </c>
      <c r="D11" s="138">
        <v>0</v>
      </c>
      <c r="E11" s="138">
        <v>0</v>
      </c>
      <c r="F11" s="138">
        <v>0</v>
      </c>
      <c r="G11" s="138">
        <v>0</v>
      </c>
      <c r="H11" s="138">
        <v>0</v>
      </c>
      <c r="I11" s="138">
        <v>0</v>
      </c>
      <c r="J11" s="138">
        <v>0</v>
      </c>
      <c r="K11" s="138">
        <v>0</v>
      </c>
      <c r="L11" s="138">
        <v>0</v>
      </c>
      <c r="M11" s="138">
        <v>200000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3000</v>
      </c>
      <c r="G13" s="138">
        <v>3000</v>
      </c>
      <c r="H13" s="138">
        <v>3000</v>
      </c>
      <c r="I13" s="138">
        <v>3000</v>
      </c>
      <c r="J13" s="138">
        <v>3000</v>
      </c>
      <c r="K13" s="138">
        <v>3000</v>
      </c>
      <c r="L13" s="138">
        <v>3000</v>
      </c>
      <c r="M13" s="138">
        <v>3000</v>
      </c>
      <c r="N13" s="57">
        <f aca="true" t="shared" si="3" ref="N13:N32">SUM(B13:M13)</f>
        <v>36000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0</v>
      </c>
      <c r="C15" s="138">
        <v>0</v>
      </c>
      <c r="D15" s="138">
        <v>0</v>
      </c>
      <c r="E15" s="138">
        <v>0</v>
      </c>
      <c r="F15" s="138">
        <v>0</v>
      </c>
      <c r="G15" s="138">
        <v>0</v>
      </c>
      <c r="H15" s="138">
        <v>0</v>
      </c>
      <c r="I15" s="138">
        <v>0</v>
      </c>
      <c r="J15" s="138">
        <v>0</v>
      </c>
      <c r="K15" s="138">
        <v>0</v>
      </c>
      <c r="L15" s="138">
        <v>0</v>
      </c>
      <c r="M15" s="138">
        <v>0</v>
      </c>
      <c r="N15" s="57">
        <f t="shared" si="3"/>
        <v>0</v>
      </c>
    </row>
    <row r="16" spans="1:14" ht="15">
      <c r="A16" s="132" t="s">
        <v>190</v>
      </c>
      <c r="B16" s="138">
        <v>0</v>
      </c>
      <c r="C16" s="138">
        <v>0</v>
      </c>
      <c r="D16" s="138">
        <v>0</v>
      </c>
      <c r="E16" s="138">
        <v>0</v>
      </c>
      <c r="F16" s="138">
        <v>0</v>
      </c>
      <c r="G16" s="138">
        <v>0</v>
      </c>
      <c r="H16" s="138">
        <v>0</v>
      </c>
      <c r="I16" s="138">
        <v>0</v>
      </c>
      <c r="J16" s="138">
        <v>0</v>
      </c>
      <c r="K16" s="138">
        <v>0</v>
      </c>
      <c r="L16" s="138">
        <v>0</v>
      </c>
      <c r="M16" s="138">
        <v>0</v>
      </c>
      <c r="N16" s="57">
        <f t="shared" si="3"/>
        <v>0</v>
      </c>
    </row>
    <row r="17" spans="1:14" ht="15">
      <c r="A17" s="132" t="s">
        <v>191</v>
      </c>
      <c r="B17" s="138">
        <v>0</v>
      </c>
      <c r="C17" s="138">
        <v>0</v>
      </c>
      <c r="D17" s="138">
        <v>0</v>
      </c>
      <c r="E17" s="138">
        <v>0</v>
      </c>
      <c r="F17" s="138">
        <v>0</v>
      </c>
      <c r="G17" s="138">
        <v>0</v>
      </c>
      <c r="H17" s="138">
        <v>0</v>
      </c>
      <c r="I17" s="138">
        <v>0</v>
      </c>
      <c r="J17" s="138">
        <v>0</v>
      </c>
      <c r="K17" s="138">
        <v>0</v>
      </c>
      <c r="L17" s="138">
        <v>0</v>
      </c>
      <c r="M17" s="138">
        <v>0</v>
      </c>
      <c r="N17" s="57">
        <f t="shared" si="3"/>
        <v>0</v>
      </c>
    </row>
    <row r="18" spans="1:14" ht="15">
      <c r="A18" s="132" t="s">
        <v>192</v>
      </c>
      <c r="B18" s="138">
        <v>0</v>
      </c>
      <c r="C18" s="138">
        <v>0</v>
      </c>
      <c r="D18" s="138">
        <v>0</v>
      </c>
      <c r="E18" s="138">
        <v>0</v>
      </c>
      <c r="F18" s="138">
        <v>0</v>
      </c>
      <c r="G18" s="138">
        <v>0</v>
      </c>
      <c r="H18" s="138">
        <v>0</v>
      </c>
      <c r="I18" s="138">
        <v>0</v>
      </c>
      <c r="J18" s="138">
        <v>0</v>
      </c>
      <c r="K18" s="138">
        <v>0</v>
      </c>
      <c r="L18" s="138">
        <v>0</v>
      </c>
      <c r="M18" s="138">
        <v>0</v>
      </c>
      <c r="N18" s="57">
        <f t="shared" si="3"/>
        <v>0</v>
      </c>
    </row>
    <row r="19" spans="1:14" ht="15">
      <c r="A19" s="132" t="s">
        <v>194</v>
      </c>
      <c r="B19" s="138">
        <v>0</v>
      </c>
      <c r="C19" s="138">
        <v>0</v>
      </c>
      <c r="D19" s="138">
        <v>0</v>
      </c>
      <c r="E19" s="138">
        <v>0</v>
      </c>
      <c r="F19" s="138">
        <v>0</v>
      </c>
      <c r="G19" s="138">
        <v>0</v>
      </c>
      <c r="H19" s="138">
        <v>0</v>
      </c>
      <c r="I19" s="138">
        <v>0</v>
      </c>
      <c r="J19" s="138">
        <v>0</v>
      </c>
      <c r="K19" s="138">
        <v>0</v>
      </c>
      <c r="L19" s="138">
        <v>0</v>
      </c>
      <c r="M19" s="138">
        <v>0</v>
      </c>
      <c r="N19" s="57">
        <f>SUM(B19:M19)</f>
        <v>0</v>
      </c>
    </row>
    <row r="20" spans="1:14" ht="15">
      <c r="A20" s="132" t="s">
        <v>193</v>
      </c>
      <c r="B20" s="138">
        <v>0</v>
      </c>
      <c r="C20" s="138">
        <v>0</v>
      </c>
      <c r="D20" s="138">
        <v>0</v>
      </c>
      <c r="E20" s="138">
        <v>0</v>
      </c>
      <c r="F20" s="138">
        <v>0</v>
      </c>
      <c r="G20" s="138">
        <v>0</v>
      </c>
      <c r="H20" s="138">
        <v>0</v>
      </c>
      <c r="I20" s="138">
        <v>0</v>
      </c>
      <c r="J20" s="138">
        <v>0</v>
      </c>
      <c r="K20" s="138">
        <v>0</v>
      </c>
      <c r="L20" s="138">
        <v>0</v>
      </c>
      <c r="M20" s="138">
        <v>0</v>
      </c>
      <c r="N20" s="57">
        <f>SUM(B20:M20)</f>
        <v>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2750</v>
      </c>
      <c r="C22" s="138">
        <v>2750</v>
      </c>
      <c r="D22" s="138">
        <v>2750</v>
      </c>
      <c r="E22" s="138">
        <v>2750</v>
      </c>
      <c r="F22" s="138">
        <v>2750</v>
      </c>
      <c r="G22" s="138">
        <v>2750</v>
      </c>
      <c r="H22" s="138">
        <v>2750</v>
      </c>
      <c r="I22" s="138">
        <v>2750</v>
      </c>
      <c r="J22" s="138">
        <v>2750</v>
      </c>
      <c r="K22" s="138">
        <v>2750</v>
      </c>
      <c r="L22" s="138">
        <v>2750</v>
      </c>
      <c r="M22" s="138">
        <v>2750</v>
      </c>
      <c r="N22" s="57">
        <f>SUM(B22:M22)</f>
        <v>33000</v>
      </c>
    </row>
    <row r="23" spans="1:14" ht="15">
      <c r="A23" s="132" t="s">
        <v>43</v>
      </c>
      <c r="B23" s="138">
        <v>0</v>
      </c>
      <c r="C23" s="138">
        <v>0</v>
      </c>
      <c r="D23" s="138">
        <v>0</v>
      </c>
      <c r="E23" s="138">
        <v>0</v>
      </c>
      <c r="F23" s="138">
        <v>0</v>
      </c>
      <c r="G23" s="138">
        <v>0</v>
      </c>
      <c r="H23" s="138">
        <v>0</v>
      </c>
      <c r="I23" s="138">
        <v>0</v>
      </c>
      <c r="J23" s="138">
        <v>0</v>
      </c>
      <c r="K23" s="138">
        <v>0</v>
      </c>
      <c r="L23" s="138">
        <v>0</v>
      </c>
      <c r="M23" s="138">
        <v>0</v>
      </c>
      <c r="N23" s="57">
        <f t="shared" si="3"/>
        <v>0</v>
      </c>
    </row>
    <row r="24" spans="1:14" ht="15">
      <c r="A24" s="132" t="s">
        <v>62</v>
      </c>
      <c r="B24" s="138">
        <v>0</v>
      </c>
      <c r="C24" s="138">
        <v>0</v>
      </c>
      <c r="D24" s="138">
        <v>0</v>
      </c>
      <c r="E24" s="138">
        <v>0</v>
      </c>
      <c r="F24" s="138">
        <v>0</v>
      </c>
      <c r="G24" s="138">
        <v>0</v>
      </c>
      <c r="H24" s="138">
        <v>0</v>
      </c>
      <c r="I24" s="138">
        <v>0</v>
      </c>
      <c r="J24" s="138">
        <v>0</v>
      </c>
      <c r="K24" s="138">
        <v>0</v>
      </c>
      <c r="L24" s="138">
        <v>0</v>
      </c>
      <c r="M24" s="138">
        <v>0</v>
      </c>
      <c r="N24" s="57">
        <f t="shared" si="3"/>
        <v>0</v>
      </c>
    </row>
    <row r="25" spans="1:14" ht="15">
      <c r="A25" s="132" t="s">
        <v>96</v>
      </c>
      <c r="B25" s="138">
        <v>3500</v>
      </c>
      <c r="C25" s="138">
        <v>3500</v>
      </c>
      <c r="D25" s="138">
        <v>3500</v>
      </c>
      <c r="E25" s="138">
        <v>3500</v>
      </c>
      <c r="F25" s="138">
        <v>3500</v>
      </c>
      <c r="G25" s="138">
        <v>3500</v>
      </c>
      <c r="H25" s="138">
        <v>3500</v>
      </c>
      <c r="I25" s="138">
        <v>3500</v>
      </c>
      <c r="J25" s="138">
        <v>3500</v>
      </c>
      <c r="K25" s="138">
        <v>3500</v>
      </c>
      <c r="L25" s="138">
        <v>3500</v>
      </c>
      <c r="M25" s="138">
        <v>3500</v>
      </c>
      <c r="N25" s="57">
        <f t="shared" si="3"/>
        <v>42000</v>
      </c>
    </row>
    <row r="26" spans="1:14" ht="15">
      <c r="A26" s="132" t="s">
        <v>45</v>
      </c>
      <c r="B26" s="138">
        <v>500</v>
      </c>
      <c r="C26" s="138">
        <v>500</v>
      </c>
      <c r="D26" s="138">
        <v>500</v>
      </c>
      <c r="E26" s="138">
        <v>500</v>
      </c>
      <c r="F26" s="138">
        <v>500</v>
      </c>
      <c r="G26" s="138">
        <v>500</v>
      </c>
      <c r="H26" s="138">
        <v>500</v>
      </c>
      <c r="I26" s="138">
        <v>500</v>
      </c>
      <c r="J26" s="138">
        <v>500</v>
      </c>
      <c r="K26" s="138">
        <v>500</v>
      </c>
      <c r="L26" s="138">
        <v>500</v>
      </c>
      <c r="M26" s="138">
        <v>500</v>
      </c>
      <c r="N26" s="57">
        <f t="shared" si="3"/>
        <v>6000</v>
      </c>
    </row>
    <row r="27" spans="1:14" ht="15">
      <c r="A27" s="132" t="s">
        <v>46</v>
      </c>
      <c r="B27" s="138">
        <v>250</v>
      </c>
      <c r="C27" s="138">
        <v>250</v>
      </c>
      <c r="D27" s="138">
        <v>250</v>
      </c>
      <c r="E27" s="138">
        <v>250</v>
      </c>
      <c r="F27" s="138">
        <v>250</v>
      </c>
      <c r="G27" s="138">
        <v>250</v>
      </c>
      <c r="H27" s="138">
        <v>250</v>
      </c>
      <c r="I27" s="138">
        <v>250</v>
      </c>
      <c r="J27" s="138">
        <v>250</v>
      </c>
      <c r="K27" s="138">
        <v>250</v>
      </c>
      <c r="L27" s="138">
        <v>250</v>
      </c>
      <c r="M27" s="138">
        <v>250</v>
      </c>
      <c r="N27" s="57">
        <f t="shared" si="3"/>
        <v>3000</v>
      </c>
    </row>
    <row r="28" spans="1:14" ht="15">
      <c r="A28" s="132" t="s">
        <v>48</v>
      </c>
      <c r="B28" s="138">
        <v>1500</v>
      </c>
      <c r="C28" s="138">
        <v>1500</v>
      </c>
      <c r="D28" s="138">
        <v>1500</v>
      </c>
      <c r="E28" s="138">
        <v>1500</v>
      </c>
      <c r="F28" s="138">
        <v>1500</v>
      </c>
      <c r="G28" s="138">
        <v>1500</v>
      </c>
      <c r="H28" s="138">
        <v>1500</v>
      </c>
      <c r="I28" s="138">
        <v>1500</v>
      </c>
      <c r="J28" s="138">
        <v>1500</v>
      </c>
      <c r="K28" s="138">
        <v>1500</v>
      </c>
      <c r="L28" s="138">
        <v>1500</v>
      </c>
      <c r="M28" s="138">
        <v>1500</v>
      </c>
      <c r="N28" s="57">
        <f t="shared" si="3"/>
        <v>18000</v>
      </c>
    </row>
    <row r="29" spans="1:14" ht="15">
      <c r="A29" s="132" t="s">
        <v>50</v>
      </c>
      <c r="B29" s="138">
        <v>0</v>
      </c>
      <c r="C29" s="138">
        <v>0</v>
      </c>
      <c r="D29" s="138">
        <v>0</v>
      </c>
      <c r="E29" s="138">
        <v>0</v>
      </c>
      <c r="F29" s="138">
        <v>0</v>
      </c>
      <c r="G29" s="138">
        <v>0</v>
      </c>
      <c r="H29" s="138">
        <v>0</v>
      </c>
      <c r="I29" s="138">
        <v>0</v>
      </c>
      <c r="J29" s="138">
        <v>0</v>
      </c>
      <c r="K29" s="138">
        <v>0</v>
      </c>
      <c r="L29" s="138">
        <v>0</v>
      </c>
      <c r="M29" s="138">
        <v>0</v>
      </c>
      <c r="N29" s="57">
        <f t="shared" si="3"/>
        <v>0</v>
      </c>
    </row>
    <row r="30" spans="1:14" ht="15">
      <c r="A30" s="132" t="s">
        <v>195</v>
      </c>
      <c r="B30" s="138"/>
      <c r="C30" s="138"/>
      <c r="D30" s="138"/>
      <c r="E30" s="138"/>
      <c r="F30" s="138"/>
      <c r="G30" s="138"/>
      <c r="H30" s="138"/>
      <c r="I30" s="138"/>
      <c r="J30" s="138"/>
      <c r="K30" s="138"/>
      <c r="L30" s="138"/>
      <c r="M30" s="138"/>
      <c r="N30" s="57">
        <f t="shared" si="3"/>
        <v>0</v>
      </c>
    </row>
    <row r="31" spans="1:14" ht="15">
      <c r="A31" s="132" t="s">
        <v>198</v>
      </c>
      <c r="B31" s="138">
        <v>0</v>
      </c>
      <c r="C31" s="138">
        <v>0</v>
      </c>
      <c r="D31" s="138">
        <v>0</v>
      </c>
      <c r="E31" s="138">
        <v>0</v>
      </c>
      <c r="F31" s="138">
        <v>0</v>
      </c>
      <c r="G31" s="138">
        <v>0</v>
      </c>
      <c r="H31" s="138">
        <v>0</v>
      </c>
      <c r="I31" s="138">
        <v>0</v>
      </c>
      <c r="J31" s="138">
        <v>0</v>
      </c>
      <c r="K31" s="138">
        <v>0</v>
      </c>
      <c r="L31" s="138">
        <v>0</v>
      </c>
      <c r="M31" s="138">
        <v>0</v>
      </c>
      <c r="N31" s="57">
        <f t="shared" si="3"/>
        <v>0</v>
      </c>
    </row>
    <row r="32" spans="1:14" ht="15">
      <c r="A32" s="133" t="s">
        <v>59</v>
      </c>
      <c r="B32" s="139">
        <v>0</v>
      </c>
      <c r="C32" s="139">
        <v>0</v>
      </c>
      <c r="D32" s="139">
        <v>0</v>
      </c>
      <c r="E32" s="139">
        <v>0</v>
      </c>
      <c r="F32" s="139">
        <v>0</v>
      </c>
      <c r="G32" s="139">
        <v>0</v>
      </c>
      <c r="H32" s="139">
        <v>0</v>
      </c>
      <c r="I32" s="139">
        <v>0</v>
      </c>
      <c r="J32" s="139">
        <v>0</v>
      </c>
      <c r="K32" s="139">
        <v>0</v>
      </c>
      <c r="L32" s="139">
        <v>0</v>
      </c>
      <c r="M32" s="139">
        <v>0</v>
      </c>
      <c r="N32" s="57">
        <f t="shared" si="3"/>
        <v>0</v>
      </c>
    </row>
    <row r="33" spans="1:14" ht="15.75" thickBot="1">
      <c r="A33" s="133" t="s">
        <v>58</v>
      </c>
      <c r="B33" s="139">
        <v>0</v>
      </c>
      <c r="C33" s="139">
        <v>0</v>
      </c>
      <c r="D33" s="139">
        <v>0</v>
      </c>
      <c r="E33" s="139">
        <v>0</v>
      </c>
      <c r="F33" s="139">
        <v>0</v>
      </c>
      <c r="G33" s="139">
        <v>0</v>
      </c>
      <c r="H33" s="139">
        <v>0</v>
      </c>
      <c r="I33" s="139">
        <v>0</v>
      </c>
      <c r="J33" s="139">
        <v>0</v>
      </c>
      <c r="K33" s="139">
        <v>0</v>
      </c>
      <c r="L33" s="139">
        <v>0</v>
      </c>
      <c r="M33" s="139">
        <v>0</v>
      </c>
      <c r="N33" s="34">
        <f>SUM(B33:M33)</f>
        <v>0</v>
      </c>
    </row>
    <row r="34" spans="1:14" ht="15.75" thickBot="1">
      <c r="A34" s="134" t="s">
        <v>94</v>
      </c>
      <c r="B34" s="22">
        <f aca="true" t="shared" si="4" ref="B34:M34">B7-SUM(B9:B33)</f>
        <v>-47500</v>
      </c>
      <c r="C34" s="22">
        <f t="shared" si="4"/>
        <v>-22500</v>
      </c>
      <c r="D34" s="22">
        <f t="shared" si="4"/>
        <v>-22500</v>
      </c>
      <c r="E34" s="22">
        <f t="shared" si="4"/>
        <v>-22500</v>
      </c>
      <c r="F34" s="22">
        <f t="shared" si="4"/>
        <v>-22500</v>
      </c>
      <c r="G34" s="22">
        <f t="shared" si="4"/>
        <v>-22500</v>
      </c>
      <c r="H34" s="22">
        <f t="shared" si="4"/>
        <v>-22500</v>
      </c>
      <c r="I34" s="22">
        <f t="shared" si="4"/>
        <v>-22500</v>
      </c>
      <c r="J34" s="22">
        <f t="shared" si="4"/>
        <v>-22500</v>
      </c>
      <c r="K34" s="22">
        <f t="shared" si="4"/>
        <v>-22500</v>
      </c>
      <c r="L34" s="22">
        <f t="shared" si="4"/>
        <v>-22500</v>
      </c>
      <c r="M34" s="22">
        <f t="shared" si="4"/>
        <v>-222500</v>
      </c>
      <c r="N34" s="23">
        <f>SUM(B34:M34)</f>
        <v>-495000</v>
      </c>
    </row>
    <row r="36" spans="1:14" ht="15">
      <c r="A36" s="18"/>
      <c r="B36" s="18"/>
      <c r="C36" s="18"/>
      <c r="D36" s="18"/>
      <c r="E36" s="18"/>
      <c r="F36" s="18"/>
      <c r="G36" s="18"/>
      <c r="H36" s="18"/>
      <c r="I36" s="18"/>
      <c r="J36" s="18"/>
      <c r="K36" s="18"/>
      <c r="L36" s="18"/>
      <c r="M36" s="18"/>
      <c r="N36" s="18"/>
    </row>
    <row r="37" spans="1:14" ht="15">
      <c r="A37" s="173" t="s">
        <v>207</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3" spans="1:14" ht="15">
      <c r="A43" s="173"/>
      <c r="B43" s="173"/>
      <c r="C43" s="173"/>
      <c r="D43" s="173"/>
      <c r="E43" s="173"/>
      <c r="F43" s="173"/>
      <c r="G43" s="173"/>
      <c r="H43" s="173"/>
      <c r="I43" s="173"/>
      <c r="J43" s="173"/>
      <c r="K43" s="173"/>
      <c r="L43" s="173"/>
      <c r="M43" s="173"/>
      <c r="N43" s="173"/>
    </row>
    <row r="45" spans="2:7" ht="15">
      <c r="B45" s="176" t="s">
        <v>208</v>
      </c>
      <c r="C45" s="176"/>
      <c r="D45" s="176"/>
      <c r="E45" s="176"/>
      <c r="F45" s="177"/>
      <c r="G45" s="177"/>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11" right="0.12" top="0.75" bottom="0.75" header="0.3" footer="0.3"/>
  <pageSetup fitToHeight="1" fitToWidth="1" horizontalDpi="600" verticalDpi="600" orientation="landscape" scale="68" r:id="rId1"/>
  <headerFooter>
    <oddHeader>&amp;C&amp;"-,Bold"&amp;36&amp;UProject Victories Project Selection Tool</oddHeader>
    <oddFooter>&amp;CCopyright The Volpe Consortium,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5"/>
  <sheetViews>
    <sheetView view="pageLayout" workbookViewId="0" topLeftCell="A16">
      <selection activeCell="C6" sqref="C6"/>
    </sheetView>
  </sheetViews>
  <sheetFormatPr defaultColWidth="9.140625" defaultRowHeight="15"/>
  <cols>
    <col min="1" max="1" width="28.140625" style="0" bestFit="1" customWidth="1"/>
    <col min="2" max="10" width="13.421875" style="0" bestFit="1" customWidth="1"/>
    <col min="11" max="11" width="13.00390625" style="0" customWidth="1"/>
    <col min="12" max="12" width="13.28125" style="0" customWidth="1"/>
    <col min="13" max="13" width="14.28125" style="0" bestFit="1" customWidth="1"/>
    <col min="14" max="14" width="15.00390625" style="0" bestFit="1" customWidth="1"/>
    <col min="15" max="15" width="12.57421875" style="0" bestFit="1" customWidth="1"/>
  </cols>
  <sheetData>
    <row r="1" spans="1:15" ht="15">
      <c r="A1" s="56"/>
      <c r="B1" s="100" t="s">
        <v>15</v>
      </c>
      <c r="C1" s="100" t="s">
        <v>35</v>
      </c>
      <c r="D1" s="100" t="s">
        <v>54</v>
      </c>
      <c r="E1" s="114"/>
      <c r="F1" s="114"/>
      <c r="G1" s="114"/>
      <c r="H1" s="114"/>
      <c r="I1" s="114"/>
      <c r="J1" s="114"/>
      <c r="K1" s="114"/>
      <c r="L1" s="114"/>
      <c r="M1" s="114"/>
      <c r="N1" s="115"/>
      <c r="O1" s="110"/>
    </row>
    <row r="2" spans="1:15" ht="15">
      <c r="A2" s="132" t="s">
        <v>201</v>
      </c>
      <c r="B2" s="135">
        <f>Calcs!E22</f>
        <v>11.504463131543012</v>
      </c>
      <c r="C2" s="135">
        <f>Calcs!F22</f>
        <v>4.995536868456988</v>
      </c>
      <c r="D2" s="111">
        <f>B2+C2</f>
        <v>16.5</v>
      </c>
      <c r="E2" s="73"/>
      <c r="F2" s="73"/>
      <c r="G2" s="73"/>
      <c r="H2" s="73"/>
      <c r="I2" s="73"/>
      <c r="J2" s="73"/>
      <c r="K2" s="73"/>
      <c r="L2" s="73"/>
      <c r="M2" s="73"/>
      <c r="N2" s="74"/>
      <c r="O2" s="110"/>
    </row>
    <row r="3" spans="1:15" ht="15">
      <c r="A3" s="132" t="s">
        <v>202</v>
      </c>
      <c r="B3" s="135">
        <f>Calcs!E23</f>
        <v>138</v>
      </c>
      <c r="C3" s="135">
        <f>Calcs!F23</f>
        <v>60</v>
      </c>
      <c r="D3" s="111">
        <f>SUM(B3:C3)</f>
        <v>198</v>
      </c>
      <c r="E3" s="73"/>
      <c r="F3" s="73"/>
      <c r="G3" s="73"/>
      <c r="H3" s="73"/>
      <c r="I3" s="73"/>
      <c r="J3" s="73"/>
      <c r="K3" s="73"/>
      <c r="L3" s="73"/>
      <c r="M3" s="73"/>
      <c r="N3" s="74"/>
      <c r="O3" s="110"/>
    </row>
    <row r="4" spans="1:15" ht="15">
      <c r="A4" s="132" t="s">
        <v>203</v>
      </c>
      <c r="B4" s="136">
        <f>B5/600</f>
        <v>0</v>
      </c>
      <c r="C4" s="136">
        <f>C5/600</f>
        <v>0</v>
      </c>
      <c r="D4" s="136">
        <f>D5/600</f>
        <v>0</v>
      </c>
      <c r="E4" s="140">
        <f>INT(E5/Calcs!$B$21)+1</f>
        <v>1</v>
      </c>
      <c r="F4" s="140">
        <f>INT(F5/Calcs!$B$21)+1</f>
        <v>1</v>
      </c>
      <c r="G4" s="140">
        <f>INT(G5/Calcs!$B$21)+1</f>
        <v>1</v>
      </c>
      <c r="H4" s="140">
        <f>INT(H5/Calcs!$B$21)+1</f>
        <v>1</v>
      </c>
      <c r="I4" s="140">
        <f>INT(I5/Calcs!$B$21)+1</f>
        <v>1</v>
      </c>
      <c r="J4" s="140">
        <f>INT(J5/Calcs!$B$21)+1</f>
        <v>1</v>
      </c>
      <c r="K4" s="140">
        <f>INT(K5/Calcs!$B$21)+1</f>
        <v>1</v>
      </c>
      <c r="L4" s="140">
        <f>INT(L5/Calcs!$B$21)+1</f>
        <v>1</v>
      </c>
      <c r="M4" s="140">
        <f>INT(M5/Calcs!$B$21)+1</f>
        <v>1</v>
      </c>
      <c r="N4" s="74"/>
      <c r="O4" s="110"/>
    </row>
    <row r="5" spans="1:15" ht="15">
      <c r="A5" s="132" t="s">
        <v>204</v>
      </c>
      <c r="B5" s="136">
        <v>0</v>
      </c>
      <c r="C5" s="136">
        <v>0</v>
      </c>
      <c r="D5" s="136">
        <v>0</v>
      </c>
      <c r="E5" s="136">
        <v>120</v>
      </c>
      <c r="F5" s="136">
        <v>240</v>
      </c>
      <c r="G5" s="136">
        <v>480</v>
      </c>
      <c r="H5" s="136">
        <v>960</v>
      </c>
      <c r="I5" s="136">
        <f>H5*1.15</f>
        <v>1104</v>
      </c>
      <c r="J5" s="136">
        <f>I5*1.15</f>
        <v>1269.6</v>
      </c>
      <c r="K5" s="136">
        <f>J5*1.15</f>
        <v>1460.0399999999997</v>
      </c>
      <c r="L5" s="136">
        <f>K5*1.15</f>
        <v>1679.0459999999996</v>
      </c>
      <c r="M5" s="136">
        <f>L5*1.15</f>
        <v>1930.9028999999994</v>
      </c>
      <c r="N5" s="116">
        <f>SUM(B5:M5)</f>
        <v>9243.588899999999</v>
      </c>
      <c r="O5" s="110"/>
    </row>
    <row r="6" spans="1:15" ht="15">
      <c r="A6" s="132" t="s">
        <v>57</v>
      </c>
      <c r="B6" s="137">
        <v>1</v>
      </c>
      <c r="C6" s="137">
        <v>2</v>
      </c>
      <c r="D6" s="137">
        <v>3</v>
      </c>
      <c r="E6" s="137">
        <v>4</v>
      </c>
      <c r="F6" s="137">
        <v>5</v>
      </c>
      <c r="G6" s="137">
        <v>6</v>
      </c>
      <c r="H6" s="137">
        <v>7</v>
      </c>
      <c r="I6" s="137">
        <v>8</v>
      </c>
      <c r="J6" s="137">
        <v>9</v>
      </c>
      <c r="K6" s="137">
        <v>10</v>
      </c>
      <c r="L6" s="137">
        <v>11</v>
      </c>
      <c r="M6" s="137">
        <v>12</v>
      </c>
      <c r="N6" s="74"/>
      <c r="O6" s="110"/>
    </row>
    <row r="7" spans="1:15" ht="15">
      <c r="A7" s="132" t="s">
        <v>55</v>
      </c>
      <c r="B7" s="21">
        <f>B5*$D$3</f>
        <v>0</v>
      </c>
      <c r="C7" s="21">
        <f aca="true" t="shared" si="0" ref="C7:M7">C5*$D$3</f>
        <v>0</v>
      </c>
      <c r="D7" s="21">
        <f t="shared" si="0"/>
        <v>0</v>
      </c>
      <c r="E7" s="21">
        <f t="shared" si="0"/>
        <v>23760</v>
      </c>
      <c r="F7" s="21">
        <f t="shared" si="0"/>
        <v>47520</v>
      </c>
      <c r="G7" s="21">
        <f t="shared" si="0"/>
        <v>95040</v>
      </c>
      <c r="H7" s="21">
        <f t="shared" si="0"/>
        <v>190080</v>
      </c>
      <c r="I7" s="21">
        <f t="shared" si="0"/>
        <v>218592</v>
      </c>
      <c r="J7" s="21">
        <f t="shared" si="0"/>
        <v>251380.8</v>
      </c>
      <c r="K7" s="21">
        <f t="shared" si="0"/>
        <v>289087.9199999999</v>
      </c>
      <c r="L7" s="21">
        <f t="shared" si="0"/>
        <v>332451.1079999999</v>
      </c>
      <c r="M7" s="21">
        <f t="shared" si="0"/>
        <v>382318.77419999987</v>
      </c>
      <c r="N7" s="57">
        <f>SUM(B7:M7)</f>
        <v>1830230.6021999996</v>
      </c>
      <c r="O7" s="2"/>
    </row>
    <row r="8" spans="1:14" ht="15">
      <c r="A8" s="122"/>
      <c r="B8" s="113"/>
      <c r="C8" s="113"/>
      <c r="D8" s="113"/>
      <c r="E8" s="113"/>
      <c r="F8" s="113"/>
      <c r="G8" s="113"/>
      <c r="H8" s="113"/>
      <c r="I8" s="113"/>
      <c r="J8" s="113"/>
      <c r="K8" s="113"/>
      <c r="L8" s="113"/>
      <c r="M8" s="113"/>
      <c r="N8" s="117"/>
    </row>
    <row r="9" spans="1:14" ht="15">
      <c r="A9" s="132" t="s">
        <v>56</v>
      </c>
      <c r="B9" s="21">
        <f>B5*$B$3</f>
        <v>0</v>
      </c>
      <c r="C9" s="21">
        <f aca="true" t="shared" si="1" ref="C9:M9">C5*$B$3</f>
        <v>0</v>
      </c>
      <c r="D9" s="21">
        <f t="shared" si="1"/>
        <v>0</v>
      </c>
      <c r="E9" s="21">
        <f t="shared" si="1"/>
        <v>16560</v>
      </c>
      <c r="F9" s="21">
        <f t="shared" si="1"/>
        <v>33120</v>
      </c>
      <c r="G9" s="21">
        <f t="shared" si="1"/>
        <v>66240</v>
      </c>
      <c r="H9" s="21">
        <f t="shared" si="1"/>
        <v>132480</v>
      </c>
      <c r="I9" s="21">
        <f t="shared" si="1"/>
        <v>152352</v>
      </c>
      <c r="J9" s="21">
        <f t="shared" si="1"/>
        <v>175204.8</v>
      </c>
      <c r="K9" s="21">
        <f t="shared" si="1"/>
        <v>201485.51999999996</v>
      </c>
      <c r="L9" s="21">
        <f t="shared" si="1"/>
        <v>231708.34799999994</v>
      </c>
      <c r="M9" s="21">
        <f t="shared" si="1"/>
        <v>266464.6001999999</v>
      </c>
      <c r="N9" s="57">
        <f>SUM(B9:M9)</f>
        <v>1275615.2682</v>
      </c>
    </row>
    <row r="10" spans="1:14" ht="15">
      <c r="A10" s="132" t="s">
        <v>199</v>
      </c>
      <c r="B10" s="138">
        <v>0</v>
      </c>
      <c r="C10" s="138">
        <v>0</v>
      </c>
      <c r="D10" s="138">
        <v>0</v>
      </c>
      <c r="E10" s="138">
        <v>0</v>
      </c>
      <c r="F10" s="138">
        <v>0</v>
      </c>
      <c r="G10" s="138">
        <v>0</v>
      </c>
      <c r="H10" s="138">
        <v>0</v>
      </c>
      <c r="I10" s="138">
        <v>0</v>
      </c>
      <c r="J10" s="138">
        <v>0</v>
      </c>
      <c r="K10" s="138">
        <v>0</v>
      </c>
      <c r="L10" s="138">
        <v>0</v>
      </c>
      <c r="M10" s="138">
        <v>0</v>
      </c>
      <c r="N10" s="57">
        <f>SUM(B10:M10)</f>
        <v>0</v>
      </c>
    </row>
    <row r="11" spans="1:14" ht="15">
      <c r="A11" s="132" t="s">
        <v>188</v>
      </c>
      <c r="B11" s="138">
        <v>0</v>
      </c>
      <c r="C11" s="138">
        <v>0</v>
      </c>
      <c r="D11" s="138">
        <v>0</v>
      </c>
      <c r="E11" s="138">
        <v>0</v>
      </c>
      <c r="F11" s="138">
        <v>0</v>
      </c>
      <c r="G11" s="138">
        <v>0</v>
      </c>
      <c r="H11" s="138">
        <v>0</v>
      </c>
      <c r="I11" s="138">
        <v>0</v>
      </c>
      <c r="J11" s="138">
        <v>0</v>
      </c>
      <c r="K11" s="138"/>
      <c r="L11" s="138">
        <v>200000</v>
      </c>
      <c r="M11" s="138">
        <v>0</v>
      </c>
      <c r="N11" s="57">
        <f>SUM(B11:M11)</f>
        <v>200000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3000</v>
      </c>
      <c r="C13" s="138">
        <v>3000</v>
      </c>
      <c r="D13" s="138">
        <v>3000</v>
      </c>
      <c r="E13" s="138">
        <v>3000</v>
      </c>
      <c r="F13" s="138">
        <v>3000</v>
      </c>
      <c r="G13" s="138">
        <v>3000</v>
      </c>
      <c r="H13" s="138">
        <v>3000</v>
      </c>
      <c r="I13" s="138">
        <v>3000</v>
      </c>
      <c r="J13" s="138">
        <v>3000</v>
      </c>
      <c r="K13" s="138">
        <v>3000</v>
      </c>
      <c r="L13" s="138">
        <v>3000</v>
      </c>
      <c r="M13" s="138">
        <v>25000</v>
      </c>
      <c r="N13" s="57">
        <f aca="true" t="shared" si="2" ref="N13:N33">SUM(B13:M13)</f>
        <v>58000</v>
      </c>
    </row>
    <row r="14" spans="1:14" ht="15">
      <c r="A14" s="132" t="s">
        <v>205</v>
      </c>
      <c r="B14" s="138">
        <v>10000</v>
      </c>
      <c r="C14" s="138">
        <v>0</v>
      </c>
      <c r="D14" s="138">
        <v>0</v>
      </c>
      <c r="E14" s="138">
        <v>0</v>
      </c>
      <c r="F14" s="138">
        <v>0</v>
      </c>
      <c r="G14" s="138">
        <v>0</v>
      </c>
      <c r="H14" s="138">
        <v>0</v>
      </c>
      <c r="I14" s="138">
        <v>0</v>
      </c>
      <c r="J14" s="138">
        <v>0</v>
      </c>
      <c r="K14" s="138">
        <v>0</v>
      </c>
      <c r="L14" s="138">
        <v>0</v>
      </c>
      <c r="M14" s="138">
        <v>0</v>
      </c>
      <c r="N14" s="57">
        <f t="shared" si="2"/>
        <v>10000</v>
      </c>
    </row>
    <row r="15" spans="1:14" ht="15">
      <c r="A15" s="132" t="s">
        <v>189</v>
      </c>
      <c r="B15" s="138">
        <v>0</v>
      </c>
      <c r="C15" s="138">
        <v>0</v>
      </c>
      <c r="D15" s="138">
        <v>4525</v>
      </c>
      <c r="E15" s="138">
        <v>4525</v>
      </c>
      <c r="F15" s="138">
        <v>4525</v>
      </c>
      <c r="G15" s="138">
        <v>4525</v>
      </c>
      <c r="H15" s="138">
        <v>4525</v>
      </c>
      <c r="I15" s="138">
        <v>4525</v>
      </c>
      <c r="J15" s="138">
        <v>4525</v>
      </c>
      <c r="K15" s="138">
        <v>4525</v>
      </c>
      <c r="L15" s="138">
        <v>4525</v>
      </c>
      <c r="M15" s="138">
        <v>4525</v>
      </c>
      <c r="N15" s="57">
        <f t="shared" si="2"/>
        <v>45250</v>
      </c>
    </row>
    <row r="16" spans="1:14" ht="15">
      <c r="A16" s="132" t="s">
        <v>190</v>
      </c>
      <c r="B16" s="138">
        <v>0</v>
      </c>
      <c r="C16" s="138">
        <v>0</v>
      </c>
      <c r="D16" s="138">
        <v>0</v>
      </c>
      <c r="E16" s="138">
        <v>0</v>
      </c>
      <c r="F16" s="138">
        <v>0</v>
      </c>
      <c r="G16" s="138">
        <v>0</v>
      </c>
      <c r="H16" s="138">
        <v>4525</v>
      </c>
      <c r="I16" s="138">
        <v>4525</v>
      </c>
      <c r="J16" s="138">
        <v>4525</v>
      </c>
      <c r="K16" s="138">
        <v>4525</v>
      </c>
      <c r="L16" s="138">
        <v>4525</v>
      </c>
      <c r="M16" s="138">
        <v>4525</v>
      </c>
      <c r="N16" s="57">
        <f t="shared" si="2"/>
        <v>27150</v>
      </c>
    </row>
    <row r="17" spans="1:14" ht="15">
      <c r="A17" s="132" t="s">
        <v>191</v>
      </c>
      <c r="B17" s="138">
        <v>0</v>
      </c>
      <c r="C17" s="138">
        <v>0</v>
      </c>
      <c r="D17" s="138">
        <v>0</v>
      </c>
      <c r="E17" s="138">
        <v>0</v>
      </c>
      <c r="F17" s="138">
        <v>0</v>
      </c>
      <c r="G17" s="138">
        <v>0</v>
      </c>
      <c r="H17" s="138">
        <v>0</v>
      </c>
      <c r="I17" s="138">
        <v>0</v>
      </c>
      <c r="J17" s="138">
        <v>4525</v>
      </c>
      <c r="K17" s="138">
        <v>4525</v>
      </c>
      <c r="L17" s="138">
        <v>4525</v>
      </c>
      <c r="M17" s="138">
        <v>4525</v>
      </c>
      <c r="N17" s="57">
        <f t="shared" si="2"/>
        <v>18100</v>
      </c>
    </row>
    <row r="18" spans="1:14" ht="15">
      <c r="A18" s="132" t="s">
        <v>192</v>
      </c>
      <c r="B18" s="138">
        <v>0</v>
      </c>
      <c r="C18" s="138">
        <v>0</v>
      </c>
      <c r="D18" s="138">
        <v>0</v>
      </c>
      <c r="E18" s="138">
        <v>0</v>
      </c>
      <c r="F18" s="138">
        <v>0</v>
      </c>
      <c r="G18" s="138">
        <v>0</v>
      </c>
      <c r="H18" s="138">
        <v>0</v>
      </c>
      <c r="I18" s="138">
        <v>0</v>
      </c>
      <c r="J18" s="138">
        <v>0</v>
      </c>
      <c r="K18" s="138">
        <v>0</v>
      </c>
      <c r="L18" s="138">
        <v>0</v>
      </c>
      <c r="M18" s="138">
        <v>4525</v>
      </c>
      <c r="N18" s="57">
        <f t="shared" si="2"/>
        <v>4525</v>
      </c>
    </row>
    <row r="19" spans="1:14" ht="15">
      <c r="A19" s="132" t="s">
        <v>194</v>
      </c>
      <c r="B19" s="138">
        <v>0</v>
      </c>
      <c r="C19" s="138">
        <v>0</v>
      </c>
      <c r="D19" s="138">
        <v>4400</v>
      </c>
      <c r="E19" s="138">
        <v>4400</v>
      </c>
      <c r="F19" s="138">
        <v>4400</v>
      </c>
      <c r="G19" s="138">
        <v>4400</v>
      </c>
      <c r="H19" s="141">
        <v>8800</v>
      </c>
      <c r="I19" s="141">
        <v>8800</v>
      </c>
      <c r="J19" s="141">
        <v>8800</v>
      </c>
      <c r="K19" s="141">
        <v>8800</v>
      </c>
      <c r="L19" s="141">
        <v>8800</v>
      </c>
      <c r="M19" s="141">
        <v>8800</v>
      </c>
      <c r="N19" s="57">
        <f t="shared" si="2"/>
        <v>70400</v>
      </c>
    </row>
    <row r="20" spans="1:14" ht="15">
      <c r="A20" s="132" t="s">
        <v>193</v>
      </c>
      <c r="B20" s="138">
        <v>0</v>
      </c>
      <c r="C20" s="138">
        <v>0</v>
      </c>
      <c r="D20" s="138">
        <v>0</v>
      </c>
      <c r="E20" s="138">
        <v>0</v>
      </c>
      <c r="F20" s="138">
        <v>0</v>
      </c>
      <c r="G20" s="138">
        <v>0</v>
      </c>
      <c r="H20" s="138">
        <v>0</v>
      </c>
      <c r="I20" s="138">
        <v>0</v>
      </c>
      <c r="J20" s="138">
        <v>4400</v>
      </c>
      <c r="K20" s="138">
        <v>4400</v>
      </c>
      <c r="L20" s="138">
        <v>4400</v>
      </c>
      <c r="M20" s="138">
        <v>8800</v>
      </c>
      <c r="N20" s="57">
        <f t="shared" si="2"/>
        <v>22000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 t="shared" si="2"/>
        <v>132000</v>
      </c>
    </row>
    <row r="22" spans="1:14" ht="15">
      <c r="A22" s="132" t="s">
        <v>67</v>
      </c>
      <c r="B22" s="138">
        <v>2750</v>
      </c>
      <c r="C22" s="138">
        <v>11000</v>
      </c>
      <c r="D22" s="138">
        <v>11000</v>
      </c>
      <c r="E22" s="138">
        <v>11000</v>
      </c>
      <c r="F22" s="138">
        <v>11000</v>
      </c>
      <c r="G22" s="138">
        <v>11000</v>
      </c>
      <c r="H22" s="138">
        <v>11000</v>
      </c>
      <c r="I22" s="138">
        <v>11000</v>
      </c>
      <c r="J22" s="138">
        <v>11000</v>
      </c>
      <c r="K22" s="138">
        <v>11000</v>
      </c>
      <c r="L22" s="138">
        <v>11000</v>
      </c>
      <c r="M22" s="138">
        <v>11000</v>
      </c>
      <c r="N22" s="57">
        <f t="shared" si="2"/>
        <v>123750</v>
      </c>
    </row>
    <row r="23" spans="1:14" ht="15">
      <c r="A23" s="132" t="s">
        <v>43</v>
      </c>
      <c r="B23" s="138">
        <v>0</v>
      </c>
      <c r="C23" s="138">
        <v>0</v>
      </c>
      <c r="D23" s="138">
        <v>0</v>
      </c>
      <c r="E23" s="138">
        <v>0</v>
      </c>
      <c r="F23" s="138">
        <v>0</v>
      </c>
      <c r="G23" s="138">
        <v>0</v>
      </c>
      <c r="H23" s="138">
        <v>0</v>
      </c>
      <c r="I23" s="138">
        <v>0</v>
      </c>
      <c r="J23" s="138">
        <v>0</v>
      </c>
      <c r="K23" s="138">
        <v>0</v>
      </c>
      <c r="L23" s="138">
        <v>0</v>
      </c>
      <c r="M23" s="138">
        <v>0</v>
      </c>
      <c r="N23" s="57">
        <f t="shared" si="2"/>
        <v>0</v>
      </c>
    </row>
    <row r="24" spans="1:14" ht="15">
      <c r="A24" s="132" t="s">
        <v>62</v>
      </c>
      <c r="B24" s="138">
        <v>0</v>
      </c>
      <c r="C24" s="138">
        <v>0</v>
      </c>
      <c r="D24" s="138">
        <v>2500</v>
      </c>
      <c r="E24" s="138">
        <v>2500</v>
      </c>
      <c r="F24" s="138">
        <v>2500</v>
      </c>
      <c r="G24" s="138">
        <v>2500</v>
      </c>
      <c r="H24" s="138">
        <v>2500</v>
      </c>
      <c r="I24" s="138">
        <v>2500</v>
      </c>
      <c r="J24" s="138">
        <v>2500</v>
      </c>
      <c r="K24" s="138">
        <v>2500</v>
      </c>
      <c r="L24" s="138">
        <v>2500</v>
      </c>
      <c r="M24" s="138">
        <v>2500</v>
      </c>
      <c r="N24" s="57">
        <f t="shared" si="2"/>
        <v>25000</v>
      </c>
    </row>
    <row r="25" spans="1:14" ht="15">
      <c r="A25" s="132" t="s">
        <v>96</v>
      </c>
      <c r="B25" s="138">
        <v>3500</v>
      </c>
      <c r="C25" s="138">
        <v>3500</v>
      </c>
      <c r="D25" s="138">
        <v>20000</v>
      </c>
      <c r="E25" s="138">
        <v>20000</v>
      </c>
      <c r="F25" s="138">
        <v>20000</v>
      </c>
      <c r="G25" s="138">
        <v>20000</v>
      </c>
      <c r="H25" s="138">
        <v>20000</v>
      </c>
      <c r="I25" s="138">
        <v>20000</v>
      </c>
      <c r="J25" s="138">
        <v>20000</v>
      </c>
      <c r="K25" s="138">
        <v>20000</v>
      </c>
      <c r="L25" s="138">
        <v>20000</v>
      </c>
      <c r="M25" s="138">
        <v>20000</v>
      </c>
      <c r="N25" s="57">
        <f t="shared" si="2"/>
        <v>207000</v>
      </c>
    </row>
    <row r="26" spans="1:14" ht="15">
      <c r="A26" s="132" t="s">
        <v>45</v>
      </c>
      <c r="B26" s="138">
        <v>1000</v>
      </c>
      <c r="C26" s="138">
        <v>1000</v>
      </c>
      <c r="D26" s="138">
        <v>3000</v>
      </c>
      <c r="E26" s="138">
        <v>3000</v>
      </c>
      <c r="F26" s="138">
        <v>3000</v>
      </c>
      <c r="G26" s="138">
        <v>3000</v>
      </c>
      <c r="H26" s="138">
        <v>3000</v>
      </c>
      <c r="I26" s="138">
        <v>3000</v>
      </c>
      <c r="J26" s="138">
        <v>3000</v>
      </c>
      <c r="K26" s="138">
        <v>3000</v>
      </c>
      <c r="L26" s="138">
        <v>3000</v>
      </c>
      <c r="M26" s="138">
        <v>3000</v>
      </c>
      <c r="N26" s="57">
        <f t="shared" si="2"/>
        <v>32000</v>
      </c>
    </row>
    <row r="27" spans="1:14" ht="15">
      <c r="A27" s="132" t="s">
        <v>46</v>
      </c>
      <c r="B27" s="138">
        <v>250</v>
      </c>
      <c r="C27" s="138">
        <v>250</v>
      </c>
      <c r="D27" s="138">
        <v>500</v>
      </c>
      <c r="E27" s="138">
        <f>(E4*300*30*0.007469)*2+1000</f>
        <v>1134.442</v>
      </c>
      <c r="F27" s="138">
        <f>(F4*300*30*0.007469)*2+1000</f>
        <v>1134.442</v>
      </c>
      <c r="G27" s="138">
        <f>(G4*300*30*0.007469)*2+1000</f>
        <v>1134.442</v>
      </c>
      <c r="H27" s="138">
        <f aca="true" t="shared" si="3" ref="H27:M27">(H4*300*30*0.007469)*2+1000</f>
        <v>1134.442</v>
      </c>
      <c r="I27" s="138">
        <f t="shared" si="3"/>
        <v>1134.442</v>
      </c>
      <c r="J27" s="138">
        <f t="shared" si="3"/>
        <v>1134.442</v>
      </c>
      <c r="K27" s="138">
        <f t="shared" si="3"/>
        <v>1134.442</v>
      </c>
      <c r="L27" s="138">
        <f t="shared" si="3"/>
        <v>1134.442</v>
      </c>
      <c r="M27" s="138">
        <f t="shared" si="3"/>
        <v>1134.442</v>
      </c>
      <c r="N27" s="57">
        <f t="shared" si="2"/>
        <v>11209.978</v>
      </c>
    </row>
    <row r="28" spans="1:14" ht="15">
      <c r="A28" s="132" t="s">
        <v>48</v>
      </c>
      <c r="B28" s="138">
        <v>1500</v>
      </c>
      <c r="C28" s="138">
        <v>1500</v>
      </c>
      <c r="D28" s="138">
        <v>10000</v>
      </c>
      <c r="E28" s="138">
        <v>10000</v>
      </c>
      <c r="F28" s="138">
        <v>10000</v>
      </c>
      <c r="G28" s="138">
        <v>10000</v>
      </c>
      <c r="H28" s="138">
        <v>10000</v>
      </c>
      <c r="I28" s="138">
        <v>10000</v>
      </c>
      <c r="J28" s="138">
        <v>10000</v>
      </c>
      <c r="K28" s="138">
        <v>10000</v>
      </c>
      <c r="L28" s="138">
        <v>10000</v>
      </c>
      <c r="M28" s="138">
        <v>10000</v>
      </c>
      <c r="N28" s="57">
        <f t="shared" si="2"/>
        <v>103000</v>
      </c>
    </row>
    <row r="29" spans="1:14" ht="15">
      <c r="A29" s="132" t="s">
        <v>50</v>
      </c>
      <c r="B29" s="138">
        <v>0</v>
      </c>
      <c r="C29" s="138">
        <v>0</v>
      </c>
      <c r="D29" s="138">
        <v>0</v>
      </c>
      <c r="E29" s="138">
        <v>1500</v>
      </c>
      <c r="F29" s="138">
        <v>1500</v>
      </c>
      <c r="G29" s="138">
        <v>1500</v>
      </c>
      <c r="H29" s="138">
        <v>1500</v>
      </c>
      <c r="I29" s="138">
        <v>1500</v>
      </c>
      <c r="J29" s="138">
        <v>1500</v>
      </c>
      <c r="K29" s="138">
        <v>1500</v>
      </c>
      <c r="L29" s="138">
        <v>1500</v>
      </c>
      <c r="M29" s="138">
        <v>1500</v>
      </c>
      <c r="N29" s="57">
        <f t="shared" si="2"/>
        <v>13500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2"/>
        <v>20004</v>
      </c>
    </row>
    <row r="31" spans="1:14" ht="15">
      <c r="A31" s="132" t="s">
        <v>198</v>
      </c>
      <c r="B31" s="138">
        <v>0</v>
      </c>
      <c r="C31" s="138">
        <v>6500</v>
      </c>
      <c r="D31" s="138">
        <v>6500</v>
      </c>
      <c r="E31" s="138">
        <f>6500+2*(E5/2)</f>
        <v>6620</v>
      </c>
      <c r="F31" s="138">
        <f aca="true" t="shared" si="4" ref="F31:M31">6500+2*(F5/2)</f>
        <v>6740</v>
      </c>
      <c r="G31" s="138">
        <f t="shared" si="4"/>
        <v>6980</v>
      </c>
      <c r="H31" s="138">
        <f t="shared" si="4"/>
        <v>7460</v>
      </c>
      <c r="I31" s="138">
        <f t="shared" si="4"/>
        <v>7604</v>
      </c>
      <c r="J31" s="138">
        <f t="shared" si="4"/>
        <v>7769.6</v>
      </c>
      <c r="K31" s="138">
        <f t="shared" si="4"/>
        <v>7960.04</v>
      </c>
      <c r="L31" s="138">
        <f t="shared" si="4"/>
        <v>8179.045999999999</v>
      </c>
      <c r="M31" s="138">
        <f t="shared" si="4"/>
        <v>8430.9029</v>
      </c>
      <c r="N31" s="57">
        <f t="shared" si="2"/>
        <v>80743.5889</v>
      </c>
    </row>
    <row r="32" spans="1:14" ht="15">
      <c r="A32" s="133" t="s">
        <v>59</v>
      </c>
      <c r="B32" s="139">
        <v>0</v>
      </c>
      <c r="C32" s="138">
        <v>3400</v>
      </c>
      <c r="D32" s="138">
        <v>3400</v>
      </c>
      <c r="E32" s="138">
        <f aca="true" t="shared" si="5" ref="E32:M32">3400+1*(E4/2)</f>
        <v>3400.5</v>
      </c>
      <c r="F32" s="138">
        <f t="shared" si="5"/>
        <v>3400.5</v>
      </c>
      <c r="G32" s="138">
        <f t="shared" si="5"/>
        <v>3400.5</v>
      </c>
      <c r="H32" s="138">
        <f t="shared" si="5"/>
        <v>3400.5</v>
      </c>
      <c r="I32" s="138">
        <f t="shared" si="5"/>
        <v>3400.5</v>
      </c>
      <c r="J32" s="138">
        <f t="shared" si="5"/>
        <v>3400.5</v>
      </c>
      <c r="K32" s="138">
        <f t="shared" si="5"/>
        <v>3400.5</v>
      </c>
      <c r="L32" s="138">
        <f t="shared" si="5"/>
        <v>3400.5</v>
      </c>
      <c r="M32" s="138">
        <f t="shared" si="5"/>
        <v>3400.5</v>
      </c>
      <c r="N32" s="57">
        <f>SUM(B32:M32)</f>
        <v>37404.5</v>
      </c>
    </row>
    <row r="33" spans="1:14" ht="15.75" thickBot="1">
      <c r="A33" s="133" t="s">
        <v>58</v>
      </c>
      <c r="B33" s="139">
        <v>0</v>
      </c>
      <c r="C33" s="138">
        <v>3400</v>
      </c>
      <c r="D33" s="138">
        <v>3400</v>
      </c>
      <c r="E33" s="138">
        <f aca="true" t="shared" si="6" ref="E33:M33">3400+1*(E5/2)</f>
        <v>3460</v>
      </c>
      <c r="F33" s="138">
        <f t="shared" si="6"/>
        <v>3520</v>
      </c>
      <c r="G33" s="138">
        <f t="shared" si="6"/>
        <v>3640</v>
      </c>
      <c r="H33" s="138">
        <f t="shared" si="6"/>
        <v>3880</v>
      </c>
      <c r="I33" s="138">
        <f t="shared" si="6"/>
        <v>3952</v>
      </c>
      <c r="J33" s="138">
        <f t="shared" si="6"/>
        <v>4034.8</v>
      </c>
      <c r="K33" s="138">
        <f t="shared" si="6"/>
        <v>4130.0199999999995</v>
      </c>
      <c r="L33" s="138">
        <f t="shared" si="6"/>
        <v>4239.523</v>
      </c>
      <c r="M33" s="138">
        <f t="shared" si="6"/>
        <v>4365.45145</v>
      </c>
      <c r="N33" s="57">
        <f t="shared" si="2"/>
        <v>42021.79445</v>
      </c>
    </row>
    <row r="34" spans="1:14" ht="15.75" thickBot="1">
      <c r="A34" s="134" t="s">
        <v>94</v>
      </c>
      <c r="B34" s="22">
        <f aca="true" t="shared" si="7" ref="B34:M34">B7-SUM(B9:B33)</f>
        <v>-34667</v>
      </c>
      <c r="C34" s="22">
        <f t="shared" si="7"/>
        <v>-46217</v>
      </c>
      <c r="D34" s="22">
        <f t="shared" si="7"/>
        <v>-84892</v>
      </c>
      <c r="E34" s="22">
        <f t="shared" si="7"/>
        <v>-80006.942</v>
      </c>
      <c r="F34" s="22">
        <f t="shared" si="7"/>
        <v>-72986.942</v>
      </c>
      <c r="G34" s="22">
        <f t="shared" si="7"/>
        <v>-58946.94199999998</v>
      </c>
      <c r="H34" s="22">
        <f t="shared" si="7"/>
        <v>-39791.94200000001</v>
      </c>
      <c r="I34" s="22">
        <f t="shared" si="7"/>
        <v>-31367.94200000001</v>
      </c>
      <c r="J34" s="22">
        <f t="shared" si="7"/>
        <v>-30605.341999999946</v>
      </c>
      <c r="K34" s="22">
        <f t="shared" si="7"/>
        <v>-19464.602000000014</v>
      </c>
      <c r="L34" s="22">
        <f t="shared" si="7"/>
        <v>-206652.75100000005</v>
      </c>
      <c r="M34" s="22">
        <f t="shared" si="7"/>
        <v>-22844.12235000002</v>
      </c>
      <c r="N34" s="22">
        <f>SUM(B34:M34)</f>
        <v>-728443.5273500001</v>
      </c>
    </row>
    <row r="35" ht="15">
      <c r="D35" s="2"/>
    </row>
    <row r="37" spans="1:14" ht="15">
      <c r="A37" s="173" t="s">
        <v>209</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3" spans="1:14" ht="15">
      <c r="A43" s="173"/>
      <c r="B43" s="173"/>
      <c r="C43" s="173"/>
      <c r="D43" s="173"/>
      <c r="E43" s="173"/>
      <c r="F43" s="173"/>
      <c r="G43" s="173"/>
      <c r="H43" s="173"/>
      <c r="I43" s="173"/>
      <c r="J43" s="173"/>
      <c r="K43" s="173"/>
      <c r="L43" s="173"/>
      <c r="M43" s="173"/>
      <c r="N43" s="173"/>
    </row>
    <row r="45" spans="2:7" ht="15">
      <c r="B45" s="174" t="s">
        <v>208</v>
      </c>
      <c r="C45" s="174"/>
      <c r="D45" s="174"/>
      <c r="E45" s="174"/>
      <c r="F45" s="174"/>
      <c r="G45" s="174"/>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25" right="0.25" top="0.75" bottom="0.75" header="0.3" footer="0.3"/>
  <pageSetup fitToHeight="1" fitToWidth="1" horizontalDpi="600" verticalDpi="600" orientation="landscape" scale="63" r:id="rId1"/>
  <headerFooter>
    <oddHeader>&amp;C&amp;"-,Bold"&amp;36&amp;UProject Victories Project Selection Tool</oddHeader>
    <oddFooter>&amp;CCopyright The Volpe Consortium,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45"/>
  <sheetViews>
    <sheetView view="pageLayout" workbookViewId="0" topLeftCell="A16">
      <selection activeCell="A2" sqref="A2"/>
    </sheetView>
  </sheetViews>
  <sheetFormatPr defaultColWidth="9.140625" defaultRowHeight="15"/>
  <cols>
    <col min="1" max="1" width="28.140625" style="0" bestFit="1" customWidth="1"/>
    <col min="2" max="2" width="13.421875" style="0" bestFit="1" customWidth="1"/>
    <col min="3" max="4" width="12.57421875" style="0" bestFit="1" customWidth="1"/>
    <col min="5" max="5" width="13.421875" style="0" bestFit="1" customWidth="1"/>
    <col min="6" max="13" width="14.28125" style="0" bestFit="1" customWidth="1"/>
    <col min="14" max="14" width="15.28125" style="0" bestFit="1" customWidth="1"/>
  </cols>
  <sheetData>
    <row r="1" spans="1:14" ht="15">
      <c r="A1" s="56"/>
      <c r="B1" s="100" t="s">
        <v>15</v>
      </c>
      <c r="C1" s="100" t="s">
        <v>35</v>
      </c>
      <c r="D1" s="100" t="s">
        <v>54</v>
      </c>
      <c r="E1" s="25"/>
      <c r="F1" s="25"/>
      <c r="G1" s="25"/>
      <c r="H1" s="25"/>
      <c r="I1" s="25"/>
      <c r="J1" s="25"/>
      <c r="K1" s="25"/>
      <c r="L1" s="25"/>
      <c r="M1" s="25"/>
      <c r="N1" s="27"/>
    </row>
    <row r="2" spans="1:14" ht="15">
      <c r="A2" s="132" t="s">
        <v>201</v>
      </c>
      <c r="B2" s="135">
        <f>Calcs!E22</f>
        <v>11.504463131543012</v>
      </c>
      <c r="C2" s="135">
        <f>Calcs!F22</f>
        <v>4.995536868456988</v>
      </c>
      <c r="D2" s="111">
        <f>B2+C2</f>
        <v>16.5</v>
      </c>
      <c r="E2" s="73"/>
      <c r="F2" s="73"/>
      <c r="G2" s="73"/>
      <c r="H2" s="73"/>
      <c r="I2" s="73"/>
      <c r="J2" s="73"/>
      <c r="K2" s="73"/>
      <c r="L2" s="73"/>
      <c r="M2" s="73"/>
      <c r="N2" s="26"/>
    </row>
    <row r="3" spans="1:14" ht="15">
      <c r="A3" s="132" t="s">
        <v>202</v>
      </c>
      <c r="B3" s="135">
        <f>Calcs!E23</f>
        <v>138</v>
      </c>
      <c r="C3" s="135">
        <f>Calcs!F23</f>
        <v>60</v>
      </c>
      <c r="D3" s="111">
        <f>SUM(B3:C3)</f>
        <v>198</v>
      </c>
      <c r="E3" s="73"/>
      <c r="F3" s="73"/>
      <c r="G3" s="73"/>
      <c r="H3" s="73"/>
      <c r="I3" s="73"/>
      <c r="J3" s="73"/>
      <c r="K3" s="73"/>
      <c r="L3" s="73"/>
      <c r="M3" s="73"/>
      <c r="N3" s="26"/>
    </row>
    <row r="4" spans="1:14" ht="15">
      <c r="A4" s="132" t="s">
        <v>203</v>
      </c>
      <c r="B4" s="140">
        <v>1</v>
      </c>
      <c r="C4" s="140">
        <v>1</v>
      </c>
      <c r="D4" s="140">
        <f>INT(D5/Calcs!$B$21)+1</f>
        <v>2</v>
      </c>
      <c r="E4" s="140">
        <f>INT(E5/Calcs!$B$21)+1</f>
        <v>2</v>
      </c>
      <c r="F4" s="140">
        <f>INT(F5/Calcs!$B$21)+1</f>
        <v>2</v>
      </c>
      <c r="G4" s="140">
        <f>INT(G5/Calcs!$B$21)+1</f>
        <v>2</v>
      </c>
      <c r="H4" s="140">
        <f>INT(H5/Calcs!$B$21)+1</f>
        <v>2</v>
      </c>
      <c r="I4" s="140">
        <f>INT(I5/Calcs!$B$21)+1</f>
        <v>2</v>
      </c>
      <c r="J4" s="140">
        <v>2</v>
      </c>
      <c r="K4" s="140">
        <f>INT(K5/Calcs!$B$21)+1</f>
        <v>3</v>
      </c>
      <c r="L4" s="140">
        <f>INT(L5/Calcs!$B$21)+1</f>
        <v>3</v>
      </c>
      <c r="M4" s="140">
        <f>INT(M5/Calcs!$B$21)+1</f>
        <v>3</v>
      </c>
      <c r="N4" s="26"/>
    </row>
    <row r="5" spans="1:14" ht="15">
      <c r="A5" s="132" t="s">
        <v>204</v>
      </c>
      <c r="B5" s="136">
        <f>'FY 1 Best'!M5*1.1</f>
        <v>2123.9931899999997</v>
      </c>
      <c r="C5" s="136">
        <f>B5*1.1</f>
        <v>2336.392509</v>
      </c>
      <c r="D5" s="136">
        <f aca="true" t="shared" si="0" ref="D5:M5">C5*1.1</f>
        <v>2570.0317599</v>
      </c>
      <c r="E5" s="136">
        <f t="shared" si="0"/>
        <v>2827.0349358900003</v>
      </c>
      <c r="F5" s="136">
        <f t="shared" si="0"/>
        <v>3109.7384294790004</v>
      </c>
      <c r="G5" s="136">
        <f t="shared" si="0"/>
        <v>3420.7122724269007</v>
      </c>
      <c r="H5" s="136">
        <f t="shared" si="0"/>
        <v>3762.783499669591</v>
      </c>
      <c r="I5" s="136">
        <f t="shared" si="0"/>
        <v>4139.0618496365505</v>
      </c>
      <c r="J5" s="136">
        <f t="shared" si="0"/>
        <v>4552.968034600206</v>
      </c>
      <c r="K5" s="136">
        <f t="shared" si="0"/>
        <v>5008.264838060227</v>
      </c>
      <c r="L5" s="136">
        <f t="shared" si="0"/>
        <v>5509.09132186625</v>
      </c>
      <c r="M5" s="136">
        <f t="shared" si="0"/>
        <v>6060.000454052875</v>
      </c>
      <c r="N5" s="116">
        <f>SUM(B5:M5)</f>
        <v>45420.0730945816</v>
      </c>
    </row>
    <row r="6" spans="1:14" ht="15">
      <c r="A6" s="132" t="s">
        <v>57</v>
      </c>
      <c r="B6" s="137">
        <v>1</v>
      </c>
      <c r="C6" s="137">
        <v>2</v>
      </c>
      <c r="D6" s="137">
        <v>3</v>
      </c>
      <c r="E6" s="137">
        <v>4</v>
      </c>
      <c r="F6" s="137">
        <v>5</v>
      </c>
      <c r="G6" s="137">
        <v>6</v>
      </c>
      <c r="H6" s="137">
        <v>7</v>
      </c>
      <c r="I6" s="137">
        <v>8</v>
      </c>
      <c r="J6" s="137">
        <v>9</v>
      </c>
      <c r="K6" s="137">
        <v>10</v>
      </c>
      <c r="L6" s="137">
        <v>11</v>
      </c>
      <c r="M6" s="137">
        <v>12</v>
      </c>
      <c r="N6" s="26"/>
    </row>
    <row r="7" spans="1:14" ht="15">
      <c r="A7" s="132" t="s">
        <v>55</v>
      </c>
      <c r="B7" s="30">
        <f>B5*$D$3</f>
        <v>420550.65161999996</v>
      </c>
      <c r="C7" s="30">
        <f aca="true" t="shared" si="1" ref="C7:M7">C5*$D$3</f>
        <v>462605.716782</v>
      </c>
      <c r="D7" s="30">
        <f t="shared" si="1"/>
        <v>508866.2884602</v>
      </c>
      <c r="E7" s="30">
        <f t="shared" si="1"/>
        <v>559752.91730622</v>
      </c>
      <c r="F7" s="30">
        <f t="shared" si="1"/>
        <v>615728.2090368421</v>
      </c>
      <c r="G7" s="30">
        <f t="shared" si="1"/>
        <v>677301.0299405264</v>
      </c>
      <c r="H7" s="30">
        <f t="shared" si="1"/>
        <v>745031.132934579</v>
      </c>
      <c r="I7" s="30">
        <f t="shared" si="1"/>
        <v>819534.246228037</v>
      </c>
      <c r="J7" s="30">
        <f t="shared" si="1"/>
        <v>901487.6708508407</v>
      </c>
      <c r="K7" s="30">
        <f t="shared" si="1"/>
        <v>991636.4379359249</v>
      </c>
      <c r="L7" s="30">
        <f t="shared" si="1"/>
        <v>1090800.0817295176</v>
      </c>
      <c r="M7" s="30">
        <f t="shared" si="1"/>
        <v>1199880.0899024694</v>
      </c>
      <c r="N7" s="31">
        <f>SUM(B7:M7)</f>
        <v>8993174.472727157</v>
      </c>
    </row>
    <row r="8" spans="1:14" ht="15">
      <c r="A8" s="122"/>
      <c r="B8" s="35"/>
      <c r="C8" s="35"/>
      <c r="D8" s="35"/>
      <c r="E8" s="35"/>
      <c r="F8" s="35"/>
      <c r="G8" s="35"/>
      <c r="H8" s="35"/>
      <c r="I8" s="35"/>
      <c r="J8" s="35"/>
      <c r="K8" s="35"/>
      <c r="L8" s="35"/>
      <c r="M8" s="35"/>
      <c r="N8" s="36"/>
    </row>
    <row r="9" spans="1:14" ht="15">
      <c r="A9" s="132" t="s">
        <v>56</v>
      </c>
      <c r="B9" s="21">
        <f>B5*$B$3</f>
        <v>293111.06022</v>
      </c>
      <c r="C9" s="21">
        <f aca="true" t="shared" si="2" ref="C9:M9">C5*$B$3</f>
        <v>322422.16624199995</v>
      </c>
      <c r="D9" s="21">
        <f t="shared" si="2"/>
        <v>354664.3828662</v>
      </c>
      <c r="E9" s="21">
        <f t="shared" si="2"/>
        <v>390130.82115282</v>
      </c>
      <c r="F9" s="21">
        <f t="shared" si="2"/>
        <v>429143.90326810203</v>
      </c>
      <c r="G9" s="21">
        <f t="shared" si="2"/>
        <v>472058.2935949123</v>
      </c>
      <c r="H9" s="21">
        <f t="shared" si="2"/>
        <v>519264.1229544036</v>
      </c>
      <c r="I9" s="21">
        <f t="shared" si="2"/>
        <v>571190.535249844</v>
      </c>
      <c r="J9" s="21">
        <f t="shared" si="2"/>
        <v>628309.5887748285</v>
      </c>
      <c r="K9" s="21">
        <f t="shared" si="2"/>
        <v>691140.5476523113</v>
      </c>
      <c r="L9" s="21">
        <f t="shared" si="2"/>
        <v>760254.6024175425</v>
      </c>
      <c r="M9" s="21">
        <f t="shared" si="2"/>
        <v>836280.0626592968</v>
      </c>
      <c r="N9" s="31">
        <f>SUM(B9:M9)</f>
        <v>6267970.087052261</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0</v>
      </c>
      <c r="D11" s="138">
        <v>0</v>
      </c>
      <c r="E11" s="138">
        <v>0</v>
      </c>
      <c r="F11" s="138">
        <v>0</v>
      </c>
      <c r="G11" s="138">
        <v>200000</v>
      </c>
      <c r="H11" s="138">
        <v>0</v>
      </c>
      <c r="I11" s="138">
        <v>0</v>
      </c>
      <c r="J11" s="138">
        <v>0</v>
      </c>
      <c r="K11" s="138">
        <v>0</v>
      </c>
      <c r="L11" s="138">
        <v>0</v>
      </c>
      <c r="M11" s="138">
        <v>200000</v>
      </c>
      <c r="N11" s="57">
        <f>SUM(B11:M11)</f>
        <v>400000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 aca="true" t="shared" si="3" ref="N13:N33">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4525</v>
      </c>
      <c r="C15" s="138">
        <v>4525</v>
      </c>
      <c r="D15" s="138">
        <v>9050</v>
      </c>
      <c r="E15" s="138">
        <v>9050</v>
      </c>
      <c r="F15" s="138">
        <v>9050</v>
      </c>
      <c r="G15" s="138">
        <v>9050</v>
      </c>
      <c r="H15" s="138">
        <v>9050</v>
      </c>
      <c r="I15" s="138">
        <v>9050</v>
      </c>
      <c r="J15" s="138">
        <v>9050</v>
      </c>
      <c r="K15" s="138">
        <v>13575</v>
      </c>
      <c r="L15" s="138">
        <v>13575</v>
      </c>
      <c r="M15" s="138">
        <v>13575</v>
      </c>
      <c r="N15" s="57">
        <f t="shared" si="3"/>
        <v>113125</v>
      </c>
    </row>
    <row r="16" spans="1:14" ht="15">
      <c r="A16" s="132" t="s">
        <v>190</v>
      </c>
      <c r="B16" s="138">
        <v>4525</v>
      </c>
      <c r="C16" s="138">
        <v>4525</v>
      </c>
      <c r="D16" s="138">
        <v>4525</v>
      </c>
      <c r="E16" s="138">
        <v>4525</v>
      </c>
      <c r="F16" s="138">
        <v>9050</v>
      </c>
      <c r="G16" s="138">
        <v>9050</v>
      </c>
      <c r="H16" s="138">
        <v>9050</v>
      </c>
      <c r="I16" s="138">
        <v>9050</v>
      </c>
      <c r="J16" s="138">
        <v>9050</v>
      </c>
      <c r="K16" s="138">
        <v>9050</v>
      </c>
      <c r="L16" s="138">
        <v>13575</v>
      </c>
      <c r="M16" s="138">
        <v>13575</v>
      </c>
      <c r="N16" s="57">
        <f t="shared" si="3"/>
        <v>99550</v>
      </c>
    </row>
    <row r="17" spans="1:14" ht="15">
      <c r="A17" s="132" t="s">
        <v>191</v>
      </c>
      <c r="B17" s="138">
        <v>4525</v>
      </c>
      <c r="C17" s="138">
        <v>4525</v>
      </c>
      <c r="D17" s="138">
        <v>4525</v>
      </c>
      <c r="E17" s="138">
        <v>4525</v>
      </c>
      <c r="F17" s="138">
        <v>4525</v>
      </c>
      <c r="G17" s="138">
        <v>4525</v>
      </c>
      <c r="H17" s="138">
        <v>9050</v>
      </c>
      <c r="I17" s="138">
        <v>9050</v>
      </c>
      <c r="J17" s="138">
        <v>9050</v>
      </c>
      <c r="K17" s="138">
        <v>9050</v>
      </c>
      <c r="L17" s="138">
        <v>9050</v>
      </c>
      <c r="M17" s="138">
        <v>13575</v>
      </c>
      <c r="N17" s="57">
        <f t="shared" si="3"/>
        <v>85975</v>
      </c>
    </row>
    <row r="18" spans="1:14" ht="15">
      <c r="A18" s="132" t="s">
        <v>192</v>
      </c>
      <c r="B18" s="138">
        <v>4525</v>
      </c>
      <c r="C18" s="138">
        <v>4525</v>
      </c>
      <c r="D18" s="138">
        <v>4525</v>
      </c>
      <c r="E18" s="138">
        <v>4525</v>
      </c>
      <c r="F18" s="138">
        <v>4525</v>
      </c>
      <c r="G18" s="138">
        <v>4525</v>
      </c>
      <c r="H18" s="138">
        <v>4525</v>
      </c>
      <c r="I18" s="138">
        <v>4525</v>
      </c>
      <c r="J18" s="138">
        <v>9050</v>
      </c>
      <c r="K18" s="138">
        <v>9050</v>
      </c>
      <c r="L18" s="138">
        <v>9050</v>
      </c>
      <c r="M18" s="138">
        <v>9050</v>
      </c>
      <c r="N18" s="57">
        <f aca="true" t="shared" si="4" ref="N18:N24">SUM(B18:M18)</f>
        <v>72400</v>
      </c>
    </row>
    <row r="19" spans="1:14" ht="15">
      <c r="A19" s="132" t="s">
        <v>194</v>
      </c>
      <c r="B19" s="138">
        <v>8800</v>
      </c>
      <c r="C19" s="138">
        <v>8800</v>
      </c>
      <c r="D19" s="138">
        <v>8800</v>
      </c>
      <c r="E19" s="138">
        <v>8800</v>
      </c>
      <c r="F19" s="138">
        <v>8800</v>
      </c>
      <c r="G19" s="138">
        <v>8800</v>
      </c>
      <c r="H19" s="138">
        <v>8800</v>
      </c>
      <c r="I19" s="138">
        <v>8800</v>
      </c>
      <c r="J19" s="138">
        <v>8800</v>
      </c>
      <c r="K19" s="138">
        <v>8800</v>
      </c>
      <c r="L19" s="138">
        <v>8800</v>
      </c>
      <c r="M19" s="138">
        <v>8800</v>
      </c>
      <c r="N19" s="57">
        <f t="shared" si="4"/>
        <v>105600</v>
      </c>
    </row>
    <row r="20" spans="1:14" ht="15">
      <c r="A20" s="132" t="s">
        <v>193</v>
      </c>
      <c r="B20" s="138">
        <v>8800</v>
      </c>
      <c r="C20" s="138">
        <v>8800</v>
      </c>
      <c r="D20" s="138">
        <v>8800</v>
      </c>
      <c r="E20" s="138">
        <v>8800</v>
      </c>
      <c r="F20" s="138">
        <v>8800</v>
      </c>
      <c r="G20" s="138">
        <v>8800</v>
      </c>
      <c r="H20" s="138">
        <v>8800</v>
      </c>
      <c r="I20" s="138">
        <v>8800</v>
      </c>
      <c r="J20" s="138">
        <v>8800</v>
      </c>
      <c r="K20" s="138">
        <v>8800</v>
      </c>
      <c r="L20" s="138">
        <v>8800</v>
      </c>
      <c r="M20" s="138">
        <v>8800</v>
      </c>
      <c r="N20" s="57">
        <f t="shared" si="4"/>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 t="shared" si="4"/>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 t="shared" si="4"/>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4"/>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4"/>
        <v>30000</v>
      </c>
    </row>
    <row r="25" spans="1:14" ht="15">
      <c r="A25" s="132" t="s">
        <v>96</v>
      </c>
      <c r="B25" s="138">
        <v>20000</v>
      </c>
      <c r="C25" s="138">
        <v>20000</v>
      </c>
      <c r="D25" s="138">
        <v>20000</v>
      </c>
      <c r="E25" s="138">
        <v>20000</v>
      </c>
      <c r="F25" s="138">
        <v>20000</v>
      </c>
      <c r="G25" s="138">
        <v>20000</v>
      </c>
      <c r="H25" s="138">
        <v>20000</v>
      </c>
      <c r="I25" s="138">
        <v>20000</v>
      </c>
      <c r="J25" s="138">
        <v>20000</v>
      </c>
      <c r="K25" s="138">
        <v>20000</v>
      </c>
      <c r="L25" s="138">
        <v>20000</v>
      </c>
      <c r="M25" s="138">
        <v>20000</v>
      </c>
      <c r="N25" s="57">
        <f t="shared" si="3"/>
        <v>240000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1134.442</v>
      </c>
      <c r="C27" s="138">
        <f aca="true" t="shared" si="5" ref="C27:M27">(C4*300*30*0.007469)*2+1000</f>
        <v>1134.442</v>
      </c>
      <c r="D27" s="138">
        <f t="shared" si="5"/>
        <v>1268.884</v>
      </c>
      <c r="E27" s="138">
        <f t="shared" si="5"/>
        <v>1268.884</v>
      </c>
      <c r="F27" s="138">
        <f t="shared" si="5"/>
        <v>1268.884</v>
      </c>
      <c r="G27" s="138">
        <f t="shared" si="5"/>
        <v>1268.884</v>
      </c>
      <c r="H27" s="138">
        <f t="shared" si="5"/>
        <v>1268.884</v>
      </c>
      <c r="I27" s="138">
        <f t="shared" si="5"/>
        <v>1268.884</v>
      </c>
      <c r="J27" s="138">
        <f t="shared" si="5"/>
        <v>1268.884</v>
      </c>
      <c r="K27" s="138">
        <f t="shared" si="5"/>
        <v>1403.326</v>
      </c>
      <c r="L27" s="138">
        <f t="shared" si="5"/>
        <v>1403.326</v>
      </c>
      <c r="M27" s="138">
        <f t="shared" si="5"/>
        <v>1403.326</v>
      </c>
      <c r="N27" s="57">
        <f t="shared" si="3"/>
        <v>15361.050000000003</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f aca="true" t="shared" si="6" ref="B31:M31">6500+2*(B5/2)</f>
        <v>8623.99319</v>
      </c>
      <c r="C31" s="138">
        <f t="shared" si="6"/>
        <v>8836.392509</v>
      </c>
      <c r="D31" s="138">
        <f t="shared" si="6"/>
        <v>9070.0317599</v>
      </c>
      <c r="E31" s="138">
        <f t="shared" si="6"/>
        <v>9327.03493589</v>
      </c>
      <c r="F31" s="138">
        <f t="shared" si="6"/>
        <v>9609.738429479</v>
      </c>
      <c r="G31" s="138">
        <f t="shared" si="6"/>
        <v>9920.712272426901</v>
      </c>
      <c r="H31" s="138">
        <f t="shared" si="6"/>
        <v>10262.783499669591</v>
      </c>
      <c r="I31" s="138">
        <f t="shared" si="6"/>
        <v>10639.06184963655</v>
      </c>
      <c r="J31" s="138">
        <f t="shared" si="6"/>
        <v>11052.968034600206</v>
      </c>
      <c r="K31" s="138">
        <f t="shared" si="6"/>
        <v>11508.264838060226</v>
      </c>
      <c r="L31" s="138">
        <f t="shared" si="6"/>
        <v>12009.09132186625</v>
      </c>
      <c r="M31" s="138">
        <f t="shared" si="6"/>
        <v>12560.000454052875</v>
      </c>
      <c r="N31" s="57">
        <f t="shared" si="3"/>
        <v>123420.07309458159</v>
      </c>
    </row>
    <row r="32" spans="1:14" ht="15">
      <c r="A32" s="133" t="s">
        <v>59</v>
      </c>
      <c r="B32" s="138">
        <f aca="true" t="shared" si="7" ref="B32:M32">3400+1*(B4/2)</f>
        <v>3400.5</v>
      </c>
      <c r="C32" s="138">
        <f t="shared" si="7"/>
        <v>3400.5</v>
      </c>
      <c r="D32" s="138">
        <f t="shared" si="7"/>
        <v>3401</v>
      </c>
      <c r="E32" s="138">
        <f t="shared" si="7"/>
        <v>3401</v>
      </c>
      <c r="F32" s="138">
        <f t="shared" si="7"/>
        <v>3401</v>
      </c>
      <c r="G32" s="138">
        <f t="shared" si="7"/>
        <v>3401</v>
      </c>
      <c r="H32" s="138">
        <f t="shared" si="7"/>
        <v>3401</v>
      </c>
      <c r="I32" s="138">
        <f t="shared" si="7"/>
        <v>3401</v>
      </c>
      <c r="J32" s="138">
        <f t="shared" si="7"/>
        <v>3401</v>
      </c>
      <c r="K32" s="138">
        <f t="shared" si="7"/>
        <v>3401.5</v>
      </c>
      <c r="L32" s="138">
        <f t="shared" si="7"/>
        <v>3401.5</v>
      </c>
      <c r="M32" s="138">
        <f t="shared" si="7"/>
        <v>3401.5</v>
      </c>
      <c r="N32" s="31">
        <f>SUM(B32:M32)</f>
        <v>40812.5</v>
      </c>
    </row>
    <row r="33" spans="1:14" ht="15.75" thickBot="1">
      <c r="A33" s="133" t="s">
        <v>58</v>
      </c>
      <c r="B33" s="138">
        <f aca="true" t="shared" si="8" ref="B33:M33">3400+1*(B5/2)</f>
        <v>4461.996595</v>
      </c>
      <c r="C33" s="138">
        <f t="shared" si="8"/>
        <v>4568.1962545</v>
      </c>
      <c r="D33" s="138">
        <f t="shared" si="8"/>
        <v>4685.01587995</v>
      </c>
      <c r="E33" s="138">
        <f t="shared" si="8"/>
        <v>4813.517467945</v>
      </c>
      <c r="F33" s="138">
        <f t="shared" si="8"/>
        <v>4954.8692147395</v>
      </c>
      <c r="G33" s="138">
        <f t="shared" si="8"/>
        <v>5110.356136213451</v>
      </c>
      <c r="H33" s="138">
        <f t="shared" si="8"/>
        <v>5281.3917498347955</v>
      </c>
      <c r="I33" s="138">
        <f t="shared" si="8"/>
        <v>5469.530924818275</v>
      </c>
      <c r="J33" s="138">
        <f t="shared" si="8"/>
        <v>5676.484017300103</v>
      </c>
      <c r="K33" s="138">
        <f t="shared" si="8"/>
        <v>5904.132419030113</v>
      </c>
      <c r="L33" s="138">
        <f t="shared" si="8"/>
        <v>6154.545660933125</v>
      </c>
      <c r="M33" s="138">
        <f t="shared" si="8"/>
        <v>6430.000227026438</v>
      </c>
      <c r="N33" s="57">
        <f t="shared" si="3"/>
        <v>63510.036547290794</v>
      </c>
    </row>
    <row r="34" spans="1:14" ht="15.75" thickBot="1">
      <c r="A34" s="134" t="s">
        <v>94</v>
      </c>
      <c r="B34" s="22">
        <f aca="true" t="shared" si="9" ref="B34:M34">B7-SUM(B9:B33)</f>
        <v>-24548.34038499999</v>
      </c>
      <c r="C34" s="22">
        <f t="shared" si="9"/>
        <v>-12122.980223499995</v>
      </c>
      <c r="D34" s="22">
        <f t="shared" si="9"/>
        <v>-3115.0260458500125</v>
      </c>
      <c r="E34" s="22">
        <f t="shared" si="9"/>
        <v>11919.659749564948</v>
      </c>
      <c r="F34" s="22">
        <f t="shared" si="9"/>
        <v>23932.814124521567</v>
      </c>
      <c r="G34" s="22">
        <f t="shared" si="9"/>
        <v>-157875.21606302622</v>
      </c>
      <c r="H34" s="22">
        <f t="shared" si="9"/>
        <v>57610.950730671175</v>
      </c>
      <c r="I34" s="22">
        <f t="shared" si="9"/>
        <v>79623.23420373828</v>
      </c>
      <c r="J34" s="22">
        <f t="shared" si="9"/>
        <v>99311.74602411198</v>
      </c>
      <c r="K34" s="22">
        <f t="shared" si="9"/>
        <v>121286.66702652327</v>
      </c>
      <c r="L34" s="22">
        <f t="shared" si="9"/>
        <v>146060.01632917568</v>
      </c>
      <c r="M34" s="22">
        <f t="shared" si="9"/>
        <v>-26236.79943790636</v>
      </c>
      <c r="N34" s="23">
        <f>SUM(B34:M34)</f>
        <v>315846.7260330243</v>
      </c>
    </row>
    <row r="37" spans="1:14" ht="15">
      <c r="A37" s="173" t="s">
        <v>210</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3" spans="1:14" ht="15">
      <c r="A43" s="173"/>
      <c r="B43" s="173"/>
      <c r="C43" s="173"/>
      <c r="D43" s="173"/>
      <c r="E43" s="173"/>
      <c r="F43" s="173"/>
      <c r="G43" s="173"/>
      <c r="H43" s="173"/>
      <c r="I43" s="173"/>
      <c r="J43" s="173"/>
      <c r="K43" s="173"/>
      <c r="L43" s="173"/>
      <c r="M43" s="173"/>
      <c r="N43" s="173"/>
    </row>
    <row r="45" spans="2:7" ht="15">
      <c r="B45" s="174" t="s">
        <v>208</v>
      </c>
      <c r="C45" s="174"/>
      <c r="D45" s="174"/>
      <c r="E45" s="174"/>
      <c r="F45" s="174"/>
      <c r="G45" s="174"/>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8" r:id="rId1"/>
  <headerFooter>
    <oddHeader>&amp;C&amp;"-,Bold"&amp;36&amp;UProject Victories Project Selection Tool</oddHeader>
    <oddFooter>&amp;CCopyright The Volpe Consortium,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view="pageLayout" workbookViewId="0" topLeftCell="A19">
      <selection activeCell="A2" sqref="A2"/>
    </sheetView>
  </sheetViews>
  <sheetFormatPr defaultColWidth="9.140625" defaultRowHeight="15"/>
  <cols>
    <col min="1" max="1" width="28.140625" style="0" customWidth="1"/>
    <col min="2" max="13" width="14.28125" style="0" bestFit="1" customWidth="1"/>
    <col min="14" max="14" width="15.28125" style="0" bestFit="1" customWidth="1"/>
  </cols>
  <sheetData>
    <row r="1" spans="1:14" ht="15">
      <c r="A1" s="56"/>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v>3</v>
      </c>
      <c r="C4" s="140">
        <v>3</v>
      </c>
      <c r="D4" s="140">
        <v>3</v>
      </c>
      <c r="E4" s="140">
        <f>INT(E5/Calcs!$B$21)+1</f>
        <v>4</v>
      </c>
      <c r="F4" s="140">
        <f>INT(F5/Calcs!$B$21)+1</f>
        <v>4</v>
      </c>
      <c r="G4" s="140">
        <f>INT(G5/Calcs!$B$21)+1</f>
        <v>4</v>
      </c>
      <c r="H4" s="140">
        <v>4</v>
      </c>
      <c r="I4" s="140">
        <v>4</v>
      </c>
      <c r="J4" s="140">
        <v>4</v>
      </c>
      <c r="K4" s="140">
        <f>INT(K5/Calcs!$B$21)+1</f>
        <v>5</v>
      </c>
      <c r="L4" s="140">
        <f>INT(L5/Calcs!$B$21)+1</f>
        <v>5</v>
      </c>
      <c r="M4" s="140">
        <v>5</v>
      </c>
      <c r="N4" s="74"/>
    </row>
    <row r="5" spans="1:14" ht="15">
      <c r="A5" s="132" t="s">
        <v>204</v>
      </c>
      <c r="B5" s="136">
        <f>'FY 2 Best'!M5*1.05</f>
        <v>6363.000476755519</v>
      </c>
      <c r="C5" s="136">
        <f>B5*1.05</f>
        <v>6681.150500593296</v>
      </c>
      <c r="D5" s="136">
        <f aca="true" t="shared" si="0" ref="D5:M5">C5*1.05</f>
        <v>7015.208025622961</v>
      </c>
      <c r="E5" s="136">
        <f t="shared" si="0"/>
        <v>7365.968426904109</v>
      </c>
      <c r="F5" s="136">
        <f t="shared" si="0"/>
        <v>7734.2668482493145</v>
      </c>
      <c r="G5" s="136">
        <f t="shared" si="0"/>
        <v>8120.98019066178</v>
      </c>
      <c r="H5" s="136">
        <f t="shared" si="0"/>
        <v>8527.02920019487</v>
      </c>
      <c r="I5" s="136">
        <f t="shared" si="0"/>
        <v>8953.380660204613</v>
      </c>
      <c r="J5" s="136">
        <f t="shared" si="0"/>
        <v>9401.049693214845</v>
      </c>
      <c r="K5" s="136">
        <f t="shared" si="0"/>
        <v>9871.102177875588</v>
      </c>
      <c r="L5" s="136">
        <f t="shared" si="0"/>
        <v>10364.657286769367</v>
      </c>
      <c r="M5" s="136">
        <f t="shared" si="0"/>
        <v>10882.890151107835</v>
      </c>
      <c r="N5" s="116">
        <f>SUM(B5:M5)</f>
        <v>101280.68363815409</v>
      </c>
    </row>
    <row r="6" spans="1:14" ht="15">
      <c r="A6" s="132" t="s">
        <v>57</v>
      </c>
      <c r="B6" s="137">
        <v>1</v>
      </c>
      <c r="C6" s="137">
        <v>2</v>
      </c>
      <c r="D6" s="137">
        <v>3</v>
      </c>
      <c r="E6" s="137">
        <v>4</v>
      </c>
      <c r="F6" s="137">
        <v>5</v>
      </c>
      <c r="G6" s="137">
        <v>6</v>
      </c>
      <c r="H6" s="137">
        <v>7</v>
      </c>
      <c r="I6" s="137">
        <v>8</v>
      </c>
      <c r="J6" s="137">
        <v>9</v>
      </c>
      <c r="K6" s="137">
        <v>10</v>
      </c>
      <c r="L6" s="137">
        <v>11</v>
      </c>
      <c r="M6" s="137">
        <v>12</v>
      </c>
      <c r="N6" s="26"/>
    </row>
    <row r="7" spans="1:14" ht="15">
      <c r="A7" s="132" t="s">
        <v>55</v>
      </c>
      <c r="B7" s="30">
        <f>B5*$D$3</f>
        <v>1259874.0943975928</v>
      </c>
      <c r="C7" s="30">
        <f aca="true" t="shared" si="1" ref="C7:M7">C5*$D$3</f>
        <v>1322867.7991174725</v>
      </c>
      <c r="D7" s="30">
        <f t="shared" si="1"/>
        <v>1389011.1890733463</v>
      </c>
      <c r="E7" s="30">
        <f t="shared" si="1"/>
        <v>1458461.7485270137</v>
      </c>
      <c r="F7" s="30">
        <f t="shared" si="1"/>
        <v>1531384.8359533644</v>
      </c>
      <c r="G7" s="30">
        <f t="shared" si="1"/>
        <v>1607954.0777510325</v>
      </c>
      <c r="H7" s="30">
        <f t="shared" si="1"/>
        <v>1688351.781638584</v>
      </c>
      <c r="I7" s="30">
        <f t="shared" si="1"/>
        <v>1772769.3707205134</v>
      </c>
      <c r="J7" s="30">
        <f t="shared" si="1"/>
        <v>1861407.8392565395</v>
      </c>
      <c r="K7" s="30">
        <f t="shared" si="1"/>
        <v>1954478.2312193664</v>
      </c>
      <c r="L7" s="30">
        <f t="shared" si="1"/>
        <v>2052202.1427803347</v>
      </c>
      <c r="M7" s="30">
        <f t="shared" si="1"/>
        <v>2154812.249919351</v>
      </c>
      <c r="N7" s="31">
        <f>SUM(B7:M7)</f>
        <v>20053575.36035451</v>
      </c>
    </row>
    <row r="8" spans="1:14" ht="15">
      <c r="A8" s="122"/>
      <c r="B8" s="35"/>
      <c r="C8" s="35"/>
      <c r="D8" s="35"/>
      <c r="E8" s="35"/>
      <c r="F8" s="35"/>
      <c r="G8" s="35"/>
      <c r="H8" s="35"/>
      <c r="I8" s="35"/>
      <c r="J8" s="35"/>
      <c r="K8" s="35"/>
      <c r="L8" s="35"/>
      <c r="M8" s="35"/>
      <c r="N8" s="36"/>
    </row>
    <row r="9" spans="1:14" ht="15">
      <c r="A9" s="132" t="s">
        <v>56</v>
      </c>
      <c r="B9" s="21">
        <f>B5*$B$3</f>
        <v>878094.0657922616</v>
      </c>
      <c r="C9" s="21">
        <f aca="true" t="shared" si="2" ref="C9:M9">C5*$B$3</f>
        <v>921998.7690818749</v>
      </c>
      <c r="D9" s="21">
        <f t="shared" si="2"/>
        <v>968098.7075359686</v>
      </c>
      <c r="E9" s="21">
        <f t="shared" si="2"/>
        <v>1016503.642912767</v>
      </c>
      <c r="F9" s="21">
        <f t="shared" si="2"/>
        <v>1067328.8250584055</v>
      </c>
      <c r="G9" s="21">
        <f t="shared" si="2"/>
        <v>1120695.2663113256</v>
      </c>
      <c r="H9" s="21">
        <f t="shared" si="2"/>
        <v>1176730.029626892</v>
      </c>
      <c r="I9" s="21">
        <f t="shared" si="2"/>
        <v>1235566.5311082366</v>
      </c>
      <c r="J9" s="21">
        <f t="shared" si="2"/>
        <v>1297344.8576636487</v>
      </c>
      <c r="K9" s="21">
        <f t="shared" si="2"/>
        <v>1362212.100546831</v>
      </c>
      <c r="L9" s="21">
        <f t="shared" si="2"/>
        <v>1430322.7055741725</v>
      </c>
      <c r="M9" s="21">
        <f t="shared" si="2"/>
        <v>1501838.840852881</v>
      </c>
      <c r="N9" s="31">
        <f>SUM(B9:M9)</f>
        <v>13976734.342065265</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0</v>
      </c>
      <c r="D11" s="138">
        <v>0</v>
      </c>
      <c r="E11" s="138">
        <v>0</v>
      </c>
      <c r="F11" s="138">
        <v>0</v>
      </c>
      <c r="G11" s="138">
        <v>200000</v>
      </c>
      <c r="H11" s="138">
        <v>0</v>
      </c>
      <c r="I11" s="138">
        <v>0</v>
      </c>
      <c r="J11" s="138">
        <v>0</v>
      </c>
      <c r="K11" s="138">
        <v>200000</v>
      </c>
      <c r="L11" s="138">
        <v>0</v>
      </c>
      <c r="M11" s="138">
        <v>0</v>
      </c>
      <c r="N11" s="57">
        <f>SUM(B11:M11)</f>
        <v>400000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 aca="true" t="shared" si="3" ref="N13:N31">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13575</v>
      </c>
      <c r="C15" s="138">
        <v>13575</v>
      </c>
      <c r="D15" s="138">
        <v>13575</v>
      </c>
      <c r="E15" s="138">
        <v>18100</v>
      </c>
      <c r="F15" s="138">
        <v>18100</v>
      </c>
      <c r="G15" s="138">
        <v>18100</v>
      </c>
      <c r="H15" s="138">
        <v>18100</v>
      </c>
      <c r="I15" s="138">
        <v>18100</v>
      </c>
      <c r="J15" s="138">
        <v>18100</v>
      </c>
      <c r="K15" s="138">
        <v>22625</v>
      </c>
      <c r="L15" s="138">
        <v>22625</v>
      </c>
      <c r="M15" s="138">
        <v>22625</v>
      </c>
      <c r="N15" s="57">
        <f t="shared" si="3"/>
        <v>217200</v>
      </c>
    </row>
    <row r="16" spans="1:14" ht="15">
      <c r="A16" s="132" t="s">
        <v>190</v>
      </c>
      <c r="B16" s="138">
        <v>13575</v>
      </c>
      <c r="C16" s="138">
        <v>13575</v>
      </c>
      <c r="D16" s="138">
        <v>13575</v>
      </c>
      <c r="E16" s="138">
        <v>13575</v>
      </c>
      <c r="F16" s="138">
        <v>13575</v>
      </c>
      <c r="G16" s="138">
        <v>18100</v>
      </c>
      <c r="H16" s="138">
        <v>18100</v>
      </c>
      <c r="I16" s="138">
        <v>18100</v>
      </c>
      <c r="J16" s="138">
        <v>18100</v>
      </c>
      <c r="K16" s="138">
        <v>18100</v>
      </c>
      <c r="L16" s="138">
        <v>22625</v>
      </c>
      <c r="M16" s="138">
        <v>22625</v>
      </c>
      <c r="N16" s="57">
        <f t="shared" si="3"/>
        <v>203625</v>
      </c>
    </row>
    <row r="17" spans="1:14" ht="15">
      <c r="A17" s="132" t="s">
        <v>191</v>
      </c>
      <c r="B17" s="138">
        <v>13575</v>
      </c>
      <c r="C17" s="138">
        <v>13575</v>
      </c>
      <c r="D17" s="138">
        <v>13575</v>
      </c>
      <c r="E17" s="138">
        <v>13575</v>
      </c>
      <c r="F17" s="138">
        <v>13575</v>
      </c>
      <c r="G17" s="138">
        <v>13575</v>
      </c>
      <c r="H17" s="138">
        <v>18100</v>
      </c>
      <c r="I17" s="138">
        <v>18100</v>
      </c>
      <c r="J17" s="138">
        <v>18100</v>
      </c>
      <c r="K17" s="138">
        <v>18100</v>
      </c>
      <c r="L17" s="138">
        <v>18100</v>
      </c>
      <c r="M17" s="138">
        <v>22625</v>
      </c>
      <c r="N17" s="57">
        <f t="shared" si="3"/>
        <v>194575</v>
      </c>
    </row>
    <row r="18" spans="1:14" ht="15">
      <c r="A18" s="132" t="s">
        <v>192</v>
      </c>
      <c r="B18" s="138">
        <v>9050</v>
      </c>
      <c r="C18" s="138">
        <v>13575</v>
      </c>
      <c r="D18" s="138">
        <v>13575</v>
      </c>
      <c r="E18" s="138">
        <v>13575</v>
      </c>
      <c r="F18" s="138">
        <v>13575</v>
      </c>
      <c r="G18" s="138">
        <v>13575</v>
      </c>
      <c r="H18" s="138">
        <v>13575</v>
      </c>
      <c r="I18" s="138">
        <v>18100</v>
      </c>
      <c r="J18" s="138">
        <v>18100</v>
      </c>
      <c r="K18" s="138">
        <v>18100</v>
      </c>
      <c r="L18" s="138">
        <v>18100</v>
      </c>
      <c r="M18" s="138">
        <v>18100</v>
      </c>
      <c r="N18" s="57">
        <f>SUM(B18:M18)</f>
        <v>181000</v>
      </c>
    </row>
    <row r="19" spans="1:14" ht="15">
      <c r="A19" s="132" t="s">
        <v>194</v>
      </c>
      <c r="B19" s="138">
        <v>8800</v>
      </c>
      <c r="C19" s="138">
        <v>8800</v>
      </c>
      <c r="D19" s="138">
        <v>8800</v>
      </c>
      <c r="E19" s="138">
        <v>8800</v>
      </c>
      <c r="F19" s="138">
        <v>8800</v>
      </c>
      <c r="G19" s="138">
        <v>8800</v>
      </c>
      <c r="H19" s="138">
        <v>8800</v>
      </c>
      <c r="I19" s="138">
        <v>8800</v>
      </c>
      <c r="J19" s="138">
        <v>8800</v>
      </c>
      <c r="K19" s="138">
        <v>8800</v>
      </c>
      <c r="L19" s="138">
        <v>8800</v>
      </c>
      <c r="M19" s="138">
        <v>8800</v>
      </c>
      <c r="N19" s="57">
        <f>SUM(B19:M19)</f>
        <v>105600</v>
      </c>
    </row>
    <row r="20" spans="1:14" ht="15">
      <c r="A20" s="132" t="s">
        <v>193</v>
      </c>
      <c r="B20" s="138">
        <v>8800</v>
      </c>
      <c r="C20" s="138">
        <v>8800</v>
      </c>
      <c r="D20" s="138">
        <v>8800</v>
      </c>
      <c r="E20" s="138">
        <v>8800</v>
      </c>
      <c r="F20" s="138">
        <v>8800</v>
      </c>
      <c r="G20" s="138">
        <v>8800</v>
      </c>
      <c r="H20" s="138">
        <v>8800</v>
      </c>
      <c r="I20" s="138">
        <v>8800</v>
      </c>
      <c r="J20" s="138">
        <v>8800</v>
      </c>
      <c r="K20" s="138">
        <v>8800</v>
      </c>
      <c r="L20" s="138">
        <v>8800</v>
      </c>
      <c r="M20" s="138">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1403.326</v>
      </c>
      <c r="C27" s="138">
        <f aca="true" t="shared" si="4" ref="C27:M27">(C4*300*30*0.007469)*2+1000</f>
        <v>1403.326</v>
      </c>
      <c r="D27" s="138">
        <f t="shared" si="4"/>
        <v>1403.326</v>
      </c>
      <c r="E27" s="138">
        <f t="shared" si="4"/>
        <v>1537.768</v>
      </c>
      <c r="F27" s="138">
        <f t="shared" si="4"/>
        <v>1537.768</v>
      </c>
      <c r="G27" s="138">
        <f t="shared" si="4"/>
        <v>1537.768</v>
      </c>
      <c r="H27" s="138">
        <f t="shared" si="4"/>
        <v>1537.768</v>
      </c>
      <c r="I27" s="138">
        <f t="shared" si="4"/>
        <v>1537.768</v>
      </c>
      <c r="J27" s="138">
        <f t="shared" si="4"/>
        <v>1537.768</v>
      </c>
      <c r="K27" s="138">
        <f t="shared" si="4"/>
        <v>1672.21</v>
      </c>
      <c r="L27" s="138">
        <f t="shared" si="4"/>
        <v>1672.21</v>
      </c>
      <c r="M27" s="138">
        <f t="shared" si="4"/>
        <v>1672.21</v>
      </c>
      <c r="N27" s="57">
        <f t="shared" si="3"/>
        <v>18453.215999999997</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f aca="true" t="shared" si="5" ref="B31:M31">6500+2*(B5/2)</f>
        <v>12863.000476755518</v>
      </c>
      <c r="C31" s="138">
        <f t="shared" si="5"/>
        <v>13181.150500593296</v>
      </c>
      <c r="D31" s="138">
        <f t="shared" si="5"/>
        <v>13515.20802562296</v>
      </c>
      <c r="E31" s="138">
        <f t="shared" si="5"/>
        <v>13865.96842690411</v>
      </c>
      <c r="F31" s="138">
        <f t="shared" si="5"/>
        <v>14234.266848249314</v>
      </c>
      <c r="G31" s="138">
        <f t="shared" si="5"/>
        <v>14620.98019066178</v>
      </c>
      <c r="H31" s="138">
        <f t="shared" si="5"/>
        <v>15027.02920019487</v>
      </c>
      <c r="I31" s="138">
        <f t="shared" si="5"/>
        <v>15453.380660204613</v>
      </c>
      <c r="J31" s="138">
        <f t="shared" si="5"/>
        <v>15901.049693214845</v>
      </c>
      <c r="K31" s="138">
        <f t="shared" si="5"/>
        <v>16371.102177875588</v>
      </c>
      <c r="L31" s="138">
        <f t="shared" si="5"/>
        <v>16864.65728676937</v>
      </c>
      <c r="M31" s="138">
        <f t="shared" si="5"/>
        <v>17382.890151107837</v>
      </c>
      <c r="N31" s="57">
        <f t="shared" si="3"/>
        <v>179280.68363815406</v>
      </c>
    </row>
    <row r="32" spans="1:14" ht="15">
      <c r="A32" s="133" t="s">
        <v>59</v>
      </c>
      <c r="B32" s="138">
        <f aca="true" t="shared" si="6" ref="B32:M32">3400+1*(B4/2)</f>
        <v>3401.5</v>
      </c>
      <c r="C32" s="138">
        <f t="shared" si="6"/>
        <v>3401.5</v>
      </c>
      <c r="D32" s="138">
        <f t="shared" si="6"/>
        <v>3401.5</v>
      </c>
      <c r="E32" s="138">
        <f t="shared" si="6"/>
        <v>3402</v>
      </c>
      <c r="F32" s="138">
        <f t="shared" si="6"/>
        <v>3402</v>
      </c>
      <c r="G32" s="138">
        <f t="shared" si="6"/>
        <v>3402</v>
      </c>
      <c r="H32" s="138">
        <f t="shared" si="6"/>
        <v>3402</v>
      </c>
      <c r="I32" s="138">
        <f t="shared" si="6"/>
        <v>3402</v>
      </c>
      <c r="J32" s="138">
        <f t="shared" si="6"/>
        <v>3402</v>
      </c>
      <c r="K32" s="138">
        <f t="shared" si="6"/>
        <v>3402.5</v>
      </c>
      <c r="L32" s="138">
        <f t="shared" si="6"/>
        <v>3402.5</v>
      </c>
      <c r="M32" s="138">
        <f t="shared" si="6"/>
        <v>3402.5</v>
      </c>
      <c r="N32" s="31">
        <f>SUM(B32:M32)</f>
        <v>40824</v>
      </c>
    </row>
    <row r="33" spans="1:14" ht="15.75" thickBot="1">
      <c r="A33" s="133" t="s">
        <v>58</v>
      </c>
      <c r="B33" s="138">
        <f aca="true" t="shared" si="7" ref="B33:M33">3400+1*(B5/2)</f>
        <v>6581.500238377759</v>
      </c>
      <c r="C33" s="138">
        <f t="shared" si="7"/>
        <v>6740.575250296648</v>
      </c>
      <c r="D33" s="138">
        <f t="shared" si="7"/>
        <v>6907.60401281148</v>
      </c>
      <c r="E33" s="138">
        <f t="shared" si="7"/>
        <v>7082.984213452055</v>
      </c>
      <c r="F33" s="138">
        <f t="shared" si="7"/>
        <v>7267.133424124657</v>
      </c>
      <c r="G33" s="138">
        <f t="shared" si="7"/>
        <v>7460.49009533089</v>
      </c>
      <c r="H33" s="138">
        <f t="shared" si="7"/>
        <v>7663.514600097435</v>
      </c>
      <c r="I33" s="138">
        <f t="shared" si="7"/>
        <v>7876.690330102307</v>
      </c>
      <c r="J33" s="138">
        <f t="shared" si="7"/>
        <v>8100.524846607423</v>
      </c>
      <c r="K33" s="138">
        <f t="shared" si="7"/>
        <v>8335.551088937795</v>
      </c>
      <c r="L33" s="138">
        <f t="shared" si="7"/>
        <v>8582.328643384684</v>
      </c>
      <c r="M33" s="138">
        <f t="shared" si="7"/>
        <v>8841.445075553918</v>
      </c>
      <c r="N33" s="34">
        <f>SUM(B33:M33)</f>
        <v>91440.34181907703</v>
      </c>
    </row>
    <row r="34" spans="1:14" ht="15.75" thickBot="1">
      <c r="A34" s="134" t="s">
        <v>94</v>
      </c>
      <c r="B34" s="22">
        <f aca="true" t="shared" si="8" ref="B34:M34">B7-SUM(B9:B33)</f>
        <v>171488.70189019805</v>
      </c>
      <c r="C34" s="22">
        <f t="shared" si="8"/>
        <v>185575.478284708</v>
      </c>
      <c r="D34" s="22">
        <f t="shared" si="8"/>
        <v>205117.84349894337</v>
      </c>
      <c r="E34" s="22">
        <f t="shared" si="8"/>
        <v>220977.3849738906</v>
      </c>
      <c r="F34" s="22">
        <f t="shared" si="8"/>
        <v>242522.8426225849</v>
      </c>
      <c r="G34" s="22">
        <f t="shared" si="8"/>
        <v>60620.57315371442</v>
      </c>
      <c r="H34" s="22">
        <f t="shared" si="8"/>
        <v>279849.4402113999</v>
      </c>
      <c r="I34" s="22">
        <f t="shared" si="8"/>
        <v>300266.0006219698</v>
      </c>
      <c r="J34" s="22">
        <f t="shared" si="8"/>
        <v>326454.6390530686</v>
      </c>
      <c r="K34" s="22">
        <f t="shared" si="8"/>
        <v>149292.76740572206</v>
      </c>
      <c r="L34" s="22">
        <f t="shared" si="8"/>
        <v>373640.7412760081</v>
      </c>
      <c r="M34" s="22">
        <f t="shared" si="8"/>
        <v>399432.3638398084</v>
      </c>
      <c r="N34" s="23">
        <f>SUM(B34:M34)</f>
        <v>2915238.776832016</v>
      </c>
    </row>
    <row r="37" spans="1:14" ht="15">
      <c r="A37" s="173" t="s">
        <v>210</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3" spans="1:14" ht="15">
      <c r="A43" s="173"/>
      <c r="B43" s="173"/>
      <c r="C43" s="173"/>
      <c r="D43" s="173"/>
      <c r="E43" s="173"/>
      <c r="F43" s="173"/>
      <c r="G43" s="173"/>
      <c r="H43" s="173"/>
      <c r="I43" s="173"/>
      <c r="J43" s="173"/>
      <c r="K43" s="173"/>
      <c r="L43" s="173"/>
      <c r="M43" s="173"/>
      <c r="N43" s="173"/>
    </row>
    <row r="45" spans="2:7" ht="15">
      <c r="B45" s="174" t="s">
        <v>208</v>
      </c>
      <c r="C45" s="174"/>
      <c r="D45" s="174"/>
      <c r="E45" s="174"/>
      <c r="F45" s="174"/>
      <c r="G45" s="174"/>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0">
      <selection activeCell="A2" sqref="A2"/>
    </sheetView>
  </sheetViews>
  <sheetFormatPr defaultColWidth="9.140625" defaultRowHeight="15"/>
  <cols>
    <col min="1" max="1" width="28.00390625" style="0" customWidth="1"/>
    <col min="2" max="13" width="14.28125" style="0" bestFit="1" customWidth="1"/>
    <col min="14" max="14" width="15.28125" style="0" bestFit="1" customWidth="1"/>
  </cols>
  <sheetData>
    <row r="1" spans="1:14" ht="15">
      <c r="A1" s="62"/>
      <c r="B1" s="100" t="s">
        <v>15</v>
      </c>
      <c r="C1" s="100" t="s">
        <v>35</v>
      </c>
      <c r="D1" s="100" t="s">
        <v>54</v>
      </c>
      <c r="E1" s="114"/>
      <c r="F1" s="114"/>
      <c r="G1" s="114"/>
      <c r="H1" s="114"/>
      <c r="I1" s="114"/>
      <c r="J1" s="114"/>
      <c r="K1" s="114"/>
      <c r="L1" s="114"/>
      <c r="M1" s="114"/>
      <c r="N1" s="115"/>
    </row>
    <row r="2" spans="1:14" ht="15">
      <c r="A2" s="132" t="s">
        <v>201</v>
      </c>
      <c r="B2" s="135">
        <f>Calcs!E22</f>
        <v>11.504463131543012</v>
      </c>
      <c r="C2" s="135">
        <f>Calcs!F22</f>
        <v>4.995536868456988</v>
      </c>
      <c r="D2" s="111">
        <f>B2+C2</f>
        <v>16.5</v>
      </c>
      <c r="E2" s="73"/>
      <c r="F2" s="73"/>
      <c r="G2" s="73"/>
      <c r="H2" s="73"/>
      <c r="I2" s="73"/>
      <c r="J2" s="73"/>
      <c r="K2" s="73"/>
      <c r="L2" s="73"/>
      <c r="M2" s="73"/>
      <c r="N2" s="74"/>
    </row>
    <row r="3" spans="1:14" ht="15">
      <c r="A3" s="132" t="s">
        <v>202</v>
      </c>
      <c r="B3" s="135">
        <f>Calcs!E23</f>
        <v>138</v>
      </c>
      <c r="C3" s="135">
        <f>Calcs!F23</f>
        <v>60</v>
      </c>
      <c r="D3" s="111">
        <f>SUM(B3:C3)</f>
        <v>198</v>
      </c>
      <c r="E3" s="73"/>
      <c r="F3" s="73"/>
      <c r="G3" s="73"/>
      <c r="H3" s="73"/>
      <c r="I3" s="73"/>
      <c r="J3" s="73"/>
      <c r="K3" s="73"/>
      <c r="L3" s="73"/>
      <c r="M3" s="73"/>
      <c r="N3" s="74"/>
    </row>
    <row r="4" spans="1:14" ht="15">
      <c r="A4" s="132" t="s">
        <v>203</v>
      </c>
      <c r="B4" s="140">
        <v>5</v>
      </c>
      <c r="C4" s="140">
        <f>INT(C5/Calcs!$B$21)+1</f>
        <v>6</v>
      </c>
      <c r="D4" s="140">
        <f>INT(D5/Calcs!$B$21)+1</f>
        <v>6</v>
      </c>
      <c r="E4" s="140">
        <v>6</v>
      </c>
      <c r="F4" s="140">
        <v>6</v>
      </c>
      <c r="G4" s="140">
        <f>INT(G5/Calcs!$B$21)+1</f>
        <v>7</v>
      </c>
      <c r="H4" s="140">
        <v>7</v>
      </c>
      <c r="I4" s="140">
        <v>7</v>
      </c>
      <c r="J4" s="140">
        <f>INT(J5/Calcs!$B$21)+1</f>
        <v>8</v>
      </c>
      <c r="K4" s="140">
        <v>8</v>
      </c>
      <c r="L4" s="140">
        <v>8</v>
      </c>
      <c r="M4" s="140">
        <v>9</v>
      </c>
      <c r="N4" s="74"/>
    </row>
    <row r="5" spans="1:14" ht="15">
      <c r="A5" s="132" t="s">
        <v>204</v>
      </c>
      <c r="B5" s="136">
        <f>'FY 3 Best'!M5*1.05</f>
        <v>11427.034658663228</v>
      </c>
      <c r="C5" s="136">
        <f>B5*1.05</f>
        <v>11998.38639159639</v>
      </c>
      <c r="D5" s="136">
        <f aca="true" t="shared" si="0" ref="D5:M5">C5*1.05</f>
        <v>12598.30571117621</v>
      </c>
      <c r="E5" s="136">
        <f t="shared" si="0"/>
        <v>13228.22099673502</v>
      </c>
      <c r="F5" s="136">
        <f t="shared" si="0"/>
        <v>13889.632046571773</v>
      </c>
      <c r="G5" s="136">
        <f t="shared" si="0"/>
        <v>14584.113648900362</v>
      </c>
      <c r="H5" s="136">
        <f t="shared" si="0"/>
        <v>15313.319331345381</v>
      </c>
      <c r="I5" s="136">
        <f t="shared" si="0"/>
        <v>16078.985297912652</v>
      </c>
      <c r="J5" s="136">
        <f t="shared" si="0"/>
        <v>16882.934562808285</v>
      </c>
      <c r="K5" s="136">
        <f t="shared" si="0"/>
        <v>17727.0812909487</v>
      </c>
      <c r="L5" s="136">
        <f t="shared" si="0"/>
        <v>18613.435355496134</v>
      </c>
      <c r="M5" s="136">
        <f t="shared" si="0"/>
        <v>19544.107123270944</v>
      </c>
      <c r="N5" s="116">
        <f>SUM(B5:M5)</f>
        <v>181885.55641542506</v>
      </c>
    </row>
    <row r="6" spans="1:14" ht="15">
      <c r="A6" s="132" t="s">
        <v>57</v>
      </c>
      <c r="B6" s="137">
        <v>1</v>
      </c>
      <c r="C6" s="137">
        <v>2</v>
      </c>
      <c r="D6" s="137">
        <v>3</v>
      </c>
      <c r="E6" s="137">
        <v>4</v>
      </c>
      <c r="F6" s="137">
        <v>5</v>
      </c>
      <c r="G6" s="137">
        <v>6</v>
      </c>
      <c r="H6" s="137">
        <v>7</v>
      </c>
      <c r="I6" s="137">
        <v>8</v>
      </c>
      <c r="J6" s="137">
        <v>9</v>
      </c>
      <c r="K6" s="137">
        <v>10</v>
      </c>
      <c r="L6" s="137">
        <v>11</v>
      </c>
      <c r="M6" s="137">
        <v>12</v>
      </c>
      <c r="N6" s="26"/>
    </row>
    <row r="7" spans="1:14" ht="15">
      <c r="A7" s="132" t="s">
        <v>55</v>
      </c>
      <c r="B7" s="30">
        <f>B5*$D$3</f>
        <v>2262552.8624153193</v>
      </c>
      <c r="C7" s="30">
        <f aca="true" t="shared" si="1" ref="C7:M7">C5*$D$3</f>
        <v>2375680.5055360855</v>
      </c>
      <c r="D7" s="30">
        <f t="shared" si="1"/>
        <v>2494464.53081289</v>
      </c>
      <c r="E7" s="30">
        <f t="shared" si="1"/>
        <v>2619187.757353534</v>
      </c>
      <c r="F7" s="30">
        <f t="shared" si="1"/>
        <v>2750147.145221211</v>
      </c>
      <c r="G7" s="30">
        <f t="shared" si="1"/>
        <v>2887654.5024822718</v>
      </c>
      <c r="H7" s="30">
        <f t="shared" si="1"/>
        <v>3032037.2276063855</v>
      </c>
      <c r="I7" s="30">
        <f t="shared" si="1"/>
        <v>3183639.088986705</v>
      </c>
      <c r="J7" s="30">
        <f t="shared" si="1"/>
        <v>3342821.04343604</v>
      </c>
      <c r="K7" s="30">
        <f t="shared" si="1"/>
        <v>3509962.0956078423</v>
      </c>
      <c r="L7" s="30">
        <f t="shared" si="1"/>
        <v>3685460.2003882346</v>
      </c>
      <c r="M7" s="30">
        <f t="shared" si="1"/>
        <v>3869733.210407647</v>
      </c>
      <c r="N7" s="31">
        <f>SUM(B7:M7)</f>
        <v>36013340.17025416</v>
      </c>
    </row>
    <row r="8" spans="1:14" ht="15">
      <c r="A8" s="122"/>
      <c r="B8" s="35"/>
      <c r="C8" s="35"/>
      <c r="D8" s="35"/>
      <c r="E8" s="35"/>
      <c r="F8" s="35"/>
      <c r="G8" s="35"/>
      <c r="H8" s="35"/>
      <c r="I8" s="35"/>
      <c r="J8" s="35"/>
      <c r="K8" s="35"/>
      <c r="L8" s="35"/>
      <c r="M8" s="35"/>
      <c r="N8" s="36"/>
    </row>
    <row r="9" spans="1:14" ht="15">
      <c r="A9" s="132" t="s">
        <v>56</v>
      </c>
      <c r="B9" s="21">
        <f>B5*$B$3</f>
        <v>1576930.7828955255</v>
      </c>
      <c r="C9" s="21">
        <f aca="true" t="shared" si="2" ref="C9:M9">C5*$B$3</f>
        <v>1655777.3220403017</v>
      </c>
      <c r="D9" s="21">
        <f t="shared" si="2"/>
        <v>1738566.1881423169</v>
      </c>
      <c r="E9" s="21">
        <f t="shared" si="2"/>
        <v>1825494.4975494328</v>
      </c>
      <c r="F9" s="21">
        <f t="shared" si="2"/>
        <v>1916769.2224269046</v>
      </c>
      <c r="G9" s="21">
        <f t="shared" si="2"/>
        <v>2012607.68354825</v>
      </c>
      <c r="H9" s="21">
        <f t="shared" si="2"/>
        <v>2113238.0677256626</v>
      </c>
      <c r="I9" s="21">
        <f t="shared" si="2"/>
        <v>2218899.971111946</v>
      </c>
      <c r="J9" s="21">
        <f t="shared" si="2"/>
        <v>2329844.969667543</v>
      </c>
      <c r="K9" s="21">
        <f t="shared" si="2"/>
        <v>2446337.2181509207</v>
      </c>
      <c r="L9" s="21">
        <f t="shared" si="2"/>
        <v>2568654.0790584665</v>
      </c>
      <c r="M9" s="21">
        <f t="shared" si="2"/>
        <v>2697086.7830113904</v>
      </c>
      <c r="N9" s="31">
        <f>SUM(B9:M9)</f>
        <v>25100206.785328664</v>
      </c>
    </row>
    <row r="10" spans="1:14" ht="15">
      <c r="A10" s="132" t="s">
        <v>199</v>
      </c>
      <c r="B10" s="138">
        <v>0</v>
      </c>
      <c r="C10" s="138">
        <v>0</v>
      </c>
      <c r="D10" s="138">
        <v>0</v>
      </c>
      <c r="E10" s="138">
        <v>0</v>
      </c>
      <c r="F10" s="138">
        <v>0</v>
      </c>
      <c r="G10" s="138">
        <v>0</v>
      </c>
      <c r="H10" s="138">
        <v>0</v>
      </c>
      <c r="I10" s="138">
        <v>0</v>
      </c>
      <c r="J10" s="138">
        <v>0</v>
      </c>
      <c r="K10" s="138">
        <v>0</v>
      </c>
      <c r="L10" s="138">
        <v>0</v>
      </c>
      <c r="M10" s="138">
        <v>0</v>
      </c>
      <c r="N10" s="31">
        <f>SUM(B10:M10)</f>
        <v>0</v>
      </c>
    </row>
    <row r="11" spans="1:14" ht="15">
      <c r="A11" s="132" t="s">
        <v>188</v>
      </c>
      <c r="B11" s="138">
        <v>0</v>
      </c>
      <c r="C11" s="138">
        <v>200000</v>
      </c>
      <c r="D11" s="138">
        <v>0</v>
      </c>
      <c r="E11" s="138"/>
      <c r="F11" s="138">
        <v>200000</v>
      </c>
      <c r="G11" s="138">
        <v>0</v>
      </c>
      <c r="H11" s="138">
        <v>0</v>
      </c>
      <c r="I11" s="138">
        <v>200000</v>
      </c>
      <c r="J11" s="138">
        <v>0</v>
      </c>
      <c r="K11" s="138">
        <v>0</v>
      </c>
      <c r="L11" s="138">
        <v>0</v>
      </c>
      <c r="M11" s="138">
        <v>200000</v>
      </c>
      <c r="N11" s="57">
        <f>SUM(B11:M11)</f>
        <v>800000</v>
      </c>
    </row>
    <row r="12" spans="1:14" ht="15">
      <c r="A12" s="132" t="s">
        <v>196</v>
      </c>
      <c r="B12" s="138">
        <v>0</v>
      </c>
      <c r="C12" s="138">
        <v>0</v>
      </c>
      <c r="D12" s="138">
        <v>0</v>
      </c>
      <c r="E12" s="138">
        <v>0</v>
      </c>
      <c r="F12" s="138">
        <v>0</v>
      </c>
      <c r="G12" s="138">
        <v>0</v>
      </c>
      <c r="H12" s="138">
        <v>0</v>
      </c>
      <c r="I12" s="138">
        <v>0</v>
      </c>
      <c r="J12" s="138">
        <v>0</v>
      </c>
      <c r="K12" s="138">
        <v>0</v>
      </c>
      <c r="L12" s="138">
        <v>0</v>
      </c>
      <c r="M12" s="138">
        <v>0</v>
      </c>
      <c r="N12" s="57">
        <f>SUM(B12:M12)</f>
        <v>0</v>
      </c>
    </row>
    <row r="13" spans="1:14" ht="15">
      <c r="A13" s="132" t="s">
        <v>47</v>
      </c>
      <c r="B13" s="138">
        <v>25000</v>
      </c>
      <c r="C13" s="138">
        <v>25000</v>
      </c>
      <c r="D13" s="138">
        <v>25000</v>
      </c>
      <c r="E13" s="138">
        <v>25000</v>
      </c>
      <c r="F13" s="138">
        <v>25000</v>
      </c>
      <c r="G13" s="138">
        <v>25000</v>
      </c>
      <c r="H13" s="138">
        <v>25000</v>
      </c>
      <c r="I13" s="138">
        <v>25000</v>
      </c>
      <c r="J13" s="138">
        <v>25000</v>
      </c>
      <c r="K13" s="138">
        <v>25000</v>
      </c>
      <c r="L13" s="138">
        <v>25000</v>
      </c>
      <c r="M13" s="138">
        <v>25000</v>
      </c>
      <c r="N13" s="57">
        <f aca="true" t="shared" si="3" ref="N13:N31">SUM(B13:M13)</f>
        <v>300000</v>
      </c>
    </row>
    <row r="14" spans="1:14" ht="15">
      <c r="A14" s="132" t="s">
        <v>205</v>
      </c>
      <c r="B14" s="138">
        <v>0</v>
      </c>
      <c r="C14" s="138">
        <v>0</v>
      </c>
      <c r="D14" s="138">
        <v>0</v>
      </c>
      <c r="E14" s="138">
        <v>0</v>
      </c>
      <c r="F14" s="138">
        <v>0</v>
      </c>
      <c r="G14" s="138">
        <v>0</v>
      </c>
      <c r="H14" s="138">
        <v>0</v>
      </c>
      <c r="I14" s="138">
        <v>0</v>
      </c>
      <c r="J14" s="138">
        <v>0</v>
      </c>
      <c r="K14" s="138">
        <v>0</v>
      </c>
      <c r="L14" s="138">
        <v>0</v>
      </c>
      <c r="M14" s="138">
        <v>0</v>
      </c>
      <c r="N14" s="57">
        <f t="shared" si="3"/>
        <v>0</v>
      </c>
    </row>
    <row r="15" spans="1:14" ht="15">
      <c r="A15" s="132" t="s">
        <v>189</v>
      </c>
      <c r="B15" s="138">
        <v>22625</v>
      </c>
      <c r="C15" s="138">
        <v>22625</v>
      </c>
      <c r="D15" s="138">
        <v>27150</v>
      </c>
      <c r="E15" s="138">
        <v>27150</v>
      </c>
      <c r="F15" s="138">
        <v>27150</v>
      </c>
      <c r="G15" s="138">
        <v>31675</v>
      </c>
      <c r="H15" s="138">
        <v>31675</v>
      </c>
      <c r="I15" s="138">
        <v>31675</v>
      </c>
      <c r="J15" s="138">
        <v>36200</v>
      </c>
      <c r="K15" s="138">
        <v>36200</v>
      </c>
      <c r="L15" s="138">
        <v>36200</v>
      </c>
      <c r="M15" s="138">
        <v>40725</v>
      </c>
      <c r="N15" s="57">
        <f t="shared" si="3"/>
        <v>371050</v>
      </c>
    </row>
    <row r="16" spans="1:14" ht="15">
      <c r="A16" s="132" t="s">
        <v>190</v>
      </c>
      <c r="B16" s="138">
        <v>22625</v>
      </c>
      <c r="C16" s="138">
        <v>22625</v>
      </c>
      <c r="D16" s="138">
        <v>22625</v>
      </c>
      <c r="E16" s="138">
        <v>27150</v>
      </c>
      <c r="F16" s="138">
        <v>27150</v>
      </c>
      <c r="G16" s="138">
        <v>27150</v>
      </c>
      <c r="H16" s="138">
        <v>31675</v>
      </c>
      <c r="I16" s="138">
        <v>31675</v>
      </c>
      <c r="J16" s="138">
        <v>31675</v>
      </c>
      <c r="K16" s="138">
        <v>36200</v>
      </c>
      <c r="L16" s="138">
        <v>36200</v>
      </c>
      <c r="M16" s="138">
        <v>36200</v>
      </c>
      <c r="N16" s="57">
        <f t="shared" si="3"/>
        <v>352950</v>
      </c>
    </row>
    <row r="17" spans="1:14" ht="15">
      <c r="A17" s="132" t="s">
        <v>191</v>
      </c>
      <c r="B17" s="138">
        <v>22625</v>
      </c>
      <c r="C17" s="138">
        <v>22625</v>
      </c>
      <c r="D17" s="138">
        <v>22625</v>
      </c>
      <c r="E17" s="138">
        <v>27150</v>
      </c>
      <c r="F17" s="138">
        <v>27150</v>
      </c>
      <c r="G17" s="138">
        <v>27150</v>
      </c>
      <c r="H17" s="138">
        <v>27150</v>
      </c>
      <c r="I17" s="138">
        <v>31675</v>
      </c>
      <c r="J17" s="138">
        <v>31675</v>
      </c>
      <c r="K17" s="138">
        <v>31675</v>
      </c>
      <c r="L17" s="138">
        <v>36200</v>
      </c>
      <c r="M17" s="138">
        <v>36200</v>
      </c>
      <c r="N17" s="57">
        <f t="shared" si="3"/>
        <v>343900</v>
      </c>
    </row>
    <row r="18" spans="1:14" ht="15">
      <c r="A18" s="132" t="s">
        <v>192</v>
      </c>
      <c r="B18" s="138">
        <v>22625</v>
      </c>
      <c r="C18" s="138">
        <v>22625</v>
      </c>
      <c r="D18" s="138">
        <v>22625</v>
      </c>
      <c r="E18" s="138">
        <v>22625</v>
      </c>
      <c r="F18" s="138">
        <v>27150</v>
      </c>
      <c r="G18" s="138">
        <v>27150</v>
      </c>
      <c r="H18" s="138">
        <v>27150</v>
      </c>
      <c r="I18" s="138">
        <v>27150</v>
      </c>
      <c r="J18" s="138">
        <v>31675</v>
      </c>
      <c r="K18" s="138">
        <v>31675</v>
      </c>
      <c r="L18" s="138">
        <v>36200</v>
      </c>
      <c r="M18" s="138">
        <v>36200</v>
      </c>
      <c r="N18" s="57">
        <f>SUM(B18:M18)</f>
        <v>334850</v>
      </c>
    </row>
    <row r="19" spans="1:14" ht="15">
      <c r="A19" s="132" t="s">
        <v>194</v>
      </c>
      <c r="B19" s="138">
        <v>8800</v>
      </c>
      <c r="C19" s="138">
        <v>8800</v>
      </c>
      <c r="D19" s="138">
        <v>8800</v>
      </c>
      <c r="E19" s="138">
        <v>8800</v>
      </c>
      <c r="F19" s="138">
        <v>8800</v>
      </c>
      <c r="G19" s="138">
        <v>8800</v>
      </c>
      <c r="H19" s="138">
        <v>8800</v>
      </c>
      <c r="I19" s="138">
        <v>8800</v>
      </c>
      <c r="J19" s="138">
        <v>8800</v>
      </c>
      <c r="K19" s="138">
        <v>8800</v>
      </c>
      <c r="L19" s="138">
        <v>8800</v>
      </c>
      <c r="M19" s="138">
        <v>8800</v>
      </c>
      <c r="N19" s="57">
        <f>SUM(B19:M19)</f>
        <v>105600</v>
      </c>
    </row>
    <row r="20" spans="1:14" ht="15">
      <c r="A20" s="132" t="s">
        <v>193</v>
      </c>
      <c r="B20" s="138">
        <v>8800</v>
      </c>
      <c r="C20" s="138">
        <v>8800</v>
      </c>
      <c r="D20" s="138">
        <v>8800</v>
      </c>
      <c r="E20" s="138">
        <v>8800</v>
      </c>
      <c r="F20" s="138">
        <v>8800</v>
      </c>
      <c r="G20" s="138">
        <v>8800</v>
      </c>
      <c r="H20" s="138">
        <v>8800</v>
      </c>
      <c r="I20" s="138">
        <v>8800</v>
      </c>
      <c r="J20" s="138">
        <v>8800</v>
      </c>
      <c r="K20" s="138">
        <v>8800</v>
      </c>
      <c r="L20" s="138">
        <v>8800</v>
      </c>
      <c r="M20" s="138">
        <v>8800</v>
      </c>
      <c r="N20" s="57">
        <f>SUM(B20:M20)</f>
        <v>105600</v>
      </c>
    </row>
    <row r="21" spans="1:14" ht="15">
      <c r="A21" s="132" t="s">
        <v>206</v>
      </c>
      <c r="B21" s="138">
        <v>11000</v>
      </c>
      <c r="C21" s="138">
        <v>11000</v>
      </c>
      <c r="D21" s="138">
        <v>11000</v>
      </c>
      <c r="E21" s="138">
        <v>11000</v>
      </c>
      <c r="F21" s="138">
        <v>11000</v>
      </c>
      <c r="G21" s="138">
        <v>11000</v>
      </c>
      <c r="H21" s="138">
        <v>11000</v>
      </c>
      <c r="I21" s="138">
        <v>11000</v>
      </c>
      <c r="J21" s="138">
        <v>11000</v>
      </c>
      <c r="K21" s="138">
        <v>11000</v>
      </c>
      <c r="L21" s="138">
        <v>11000</v>
      </c>
      <c r="M21" s="138">
        <v>11000</v>
      </c>
      <c r="N21" s="57">
        <f>SUM(B21:M21)</f>
        <v>132000</v>
      </c>
    </row>
    <row r="22" spans="1:14" ht="15">
      <c r="A22" s="132" t="s">
        <v>67</v>
      </c>
      <c r="B22" s="138">
        <v>11000</v>
      </c>
      <c r="C22" s="138">
        <v>11000</v>
      </c>
      <c r="D22" s="138">
        <v>11000</v>
      </c>
      <c r="E22" s="138">
        <v>11000</v>
      </c>
      <c r="F22" s="138">
        <v>11000</v>
      </c>
      <c r="G22" s="138">
        <v>11000</v>
      </c>
      <c r="H22" s="138">
        <v>11000</v>
      </c>
      <c r="I22" s="138">
        <v>11000</v>
      </c>
      <c r="J22" s="138">
        <v>11000</v>
      </c>
      <c r="K22" s="138">
        <v>11000</v>
      </c>
      <c r="L22" s="138">
        <v>11000</v>
      </c>
      <c r="M22" s="138">
        <v>11000</v>
      </c>
      <c r="N22" s="57">
        <f>SUM(B22:M22)</f>
        <v>132000</v>
      </c>
    </row>
    <row r="23" spans="1:14" ht="15">
      <c r="A23" s="132" t="s">
        <v>43</v>
      </c>
      <c r="B23" s="138">
        <v>10000</v>
      </c>
      <c r="C23" s="138">
        <v>10000</v>
      </c>
      <c r="D23" s="138">
        <v>10000</v>
      </c>
      <c r="E23" s="138">
        <v>10000</v>
      </c>
      <c r="F23" s="138">
        <v>10000</v>
      </c>
      <c r="G23" s="138">
        <v>10000</v>
      </c>
      <c r="H23" s="138">
        <v>10000</v>
      </c>
      <c r="I23" s="138">
        <v>10000</v>
      </c>
      <c r="J23" s="138">
        <v>10000</v>
      </c>
      <c r="K23" s="138">
        <v>10000</v>
      </c>
      <c r="L23" s="138">
        <v>10000</v>
      </c>
      <c r="M23" s="138">
        <v>10000</v>
      </c>
      <c r="N23" s="57">
        <f t="shared" si="3"/>
        <v>120000</v>
      </c>
    </row>
    <row r="24" spans="1:14" ht="15">
      <c r="A24" s="132" t="s">
        <v>62</v>
      </c>
      <c r="B24" s="138">
        <v>2500</v>
      </c>
      <c r="C24" s="138">
        <v>2500</v>
      </c>
      <c r="D24" s="138">
        <v>2500</v>
      </c>
      <c r="E24" s="138">
        <v>2500</v>
      </c>
      <c r="F24" s="138">
        <v>2500</v>
      </c>
      <c r="G24" s="138">
        <v>2500</v>
      </c>
      <c r="H24" s="138">
        <v>2500</v>
      </c>
      <c r="I24" s="138">
        <v>2500</v>
      </c>
      <c r="J24" s="138">
        <v>2500</v>
      </c>
      <c r="K24" s="138">
        <v>2500</v>
      </c>
      <c r="L24" s="138">
        <v>2500</v>
      </c>
      <c r="M24" s="138">
        <v>2500</v>
      </c>
      <c r="N24" s="57">
        <f t="shared" si="3"/>
        <v>30000</v>
      </c>
    </row>
    <row r="25" spans="1:14" ht="15">
      <c r="A25" s="132" t="s">
        <v>96</v>
      </c>
      <c r="B25" s="138">
        <v>40000</v>
      </c>
      <c r="C25" s="138">
        <v>40000</v>
      </c>
      <c r="D25" s="138">
        <v>40000</v>
      </c>
      <c r="E25" s="138">
        <v>40000</v>
      </c>
      <c r="F25" s="138">
        <v>40000</v>
      </c>
      <c r="G25" s="138">
        <v>40000</v>
      </c>
      <c r="H25" s="138">
        <v>40000</v>
      </c>
      <c r="I25" s="138">
        <v>40000</v>
      </c>
      <c r="J25" s="138">
        <v>40000</v>
      </c>
      <c r="K25" s="138">
        <v>40000</v>
      </c>
      <c r="L25" s="138">
        <v>40000</v>
      </c>
      <c r="M25" s="138">
        <v>40000</v>
      </c>
      <c r="N25" s="57">
        <f t="shared" si="3"/>
        <v>480000</v>
      </c>
    </row>
    <row r="26" spans="1:14" ht="15">
      <c r="A26" s="132" t="s">
        <v>45</v>
      </c>
      <c r="B26" s="138">
        <v>6000</v>
      </c>
      <c r="C26" s="138">
        <v>6000</v>
      </c>
      <c r="D26" s="138">
        <v>6000</v>
      </c>
      <c r="E26" s="138">
        <v>6000</v>
      </c>
      <c r="F26" s="138">
        <v>6000</v>
      </c>
      <c r="G26" s="138">
        <v>6000</v>
      </c>
      <c r="H26" s="138">
        <v>6000</v>
      </c>
      <c r="I26" s="138">
        <v>6000</v>
      </c>
      <c r="J26" s="138">
        <v>6000</v>
      </c>
      <c r="K26" s="138">
        <v>6000</v>
      </c>
      <c r="L26" s="138">
        <v>6000</v>
      </c>
      <c r="M26" s="138">
        <v>6000</v>
      </c>
      <c r="N26" s="57">
        <f t="shared" si="3"/>
        <v>72000</v>
      </c>
    </row>
    <row r="27" spans="1:14" ht="15">
      <c r="A27" s="132" t="s">
        <v>46</v>
      </c>
      <c r="B27" s="138">
        <f>(B4*300*30*0.007469)*2+1000</f>
        <v>1672.21</v>
      </c>
      <c r="C27" s="138">
        <f aca="true" t="shared" si="4" ref="C27:M27">(C4*300*30*0.007469)*2+1000</f>
        <v>1806.652</v>
      </c>
      <c r="D27" s="138">
        <f t="shared" si="4"/>
        <v>1806.652</v>
      </c>
      <c r="E27" s="138">
        <f t="shared" si="4"/>
        <v>1806.652</v>
      </c>
      <c r="F27" s="138">
        <f t="shared" si="4"/>
        <v>1806.652</v>
      </c>
      <c r="G27" s="138">
        <f t="shared" si="4"/>
        <v>1941.094</v>
      </c>
      <c r="H27" s="138">
        <f t="shared" si="4"/>
        <v>1941.094</v>
      </c>
      <c r="I27" s="138">
        <f t="shared" si="4"/>
        <v>1941.094</v>
      </c>
      <c r="J27" s="138">
        <f t="shared" si="4"/>
        <v>2075.536</v>
      </c>
      <c r="K27" s="138">
        <f t="shared" si="4"/>
        <v>2075.536</v>
      </c>
      <c r="L27" s="138">
        <f t="shared" si="4"/>
        <v>2075.536</v>
      </c>
      <c r="M27" s="138">
        <f t="shared" si="4"/>
        <v>2209.978</v>
      </c>
      <c r="N27" s="57">
        <f t="shared" si="3"/>
        <v>23158.686</v>
      </c>
    </row>
    <row r="28" spans="1:14" ht="15">
      <c r="A28" s="132" t="s">
        <v>48</v>
      </c>
      <c r="B28" s="138">
        <v>10000</v>
      </c>
      <c r="C28" s="138">
        <v>10000</v>
      </c>
      <c r="D28" s="138">
        <v>10000</v>
      </c>
      <c r="E28" s="138">
        <v>10000</v>
      </c>
      <c r="F28" s="138">
        <v>10000</v>
      </c>
      <c r="G28" s="138">
        <v>10000</v>
      </c>
      <c r="H28" s="138">
        <v>10000</v>
      </c>
      <c r="I28" s="138">
        <v>10000</v>
      </c>
      <c r="J28" s="138">
        <v>10000</v>
      </c>
      <c r="K28" s="138">
        <v>10000</v>
      </c>
      <c r="L28" s="138">
        <v>10000</v>
      </c>
      <c r="M28" s="138">
        <v>10000</v>
      </c>
      <c r="N28" s="57">
        <f t="shared" si="3"/>
        <v>120000</v>
      </c>
    </row>
    <row r="29" spans="1:14" ht="15">
      <c r="A29" s="132" t="s">
        <v>50</v>
      </c>
      <c r="B29" s="138">
        <v>1500</v>
      </c>
      <c r="C29" s="138">
        <v>1500</v>
      </c>
      <c r="D29" s="138">
        <v>1500</v>
      </c>
      <c r="E29" s="138">
        <v>1500</v>
      </c>
      <c r="F29" s="138">
        <v>1500</v>
      </c>
      <c r="G29" s="138">
        <v>1500</v>
      </c>
      <c r="H29" s="138">
        <v>1500</v>
      </c>
      <c r="I29" s="138">
        <v>1500</v>
      </c>
      <c r="J29" s="138">
        <v>1500</v>
      </c>
      <c r="K29" s="138">
        <v>1500</v>
      </c>
      <c r="L29" s="138">
        <v>1500</v>
      </c>
      <c r="M29" s="138">
        <v>1500</v>
      </c>
      <c r="N29" s="57">
        <f t="shared" si="3"/>
        <v>18000</v>
      </c>
    </row>
    <row r="30" spans="1:14" ht="15">
      <c r="A30" s="132" t="s">
        <v>195</v>
      </c>
      <c r="B30" s="138">
        <v>1667</v>
      </c>
      <c r="C30" s="138">
        <v>1667</v>
      </c>
      <c r="D30" s="138">
        <v>1667</v>
      </c>
      <c r="E30" s="138">
        <v>1667</v>
      </c>
      <c r="F30" s="138">
        <v>1667</v>
      </c>
      <c r="G30" s="138">
        <v>1667</v>
      </c>
      <c r="H30" s="138">
        <v>1667</v>
      </c>
      <c r="I30" s="138">
        <v>1667</v>
      </c>
      <c r="J30" s="138">
        <v>1667</v>
      </c>
      <c r="K30" s="138">
        <v>1667</v>
      </c>
      <c r="L30" s="138">
        <v>1667</v>
      </c>
      <c r="M30" s="138">
        <v>1667</v>
      </c>
      <c r="N30" s="57">
        <f t="shared" si="3"/>
        <v>20004</v>
      </c>
    </row>
    <row r="31" spans="1:14" ht="15">
      <c r="A31" s="132" t="s">
        <v>198</v>
      </c>
      <c r="B31" s="138">
        <v>17382.89</v>
      </c>
      <c r="C31" s="138">
        <v>17382.89</v>
      </c>
      <c r="D31" s="138">
        <v>17382.89</v>
      </c>
      <c r="E31" s="138">
        <v>17382.89</v>
      </c>
      <c r="F31" s="138">
        <v>17382.89</v>
      </c>
      <c r="G31" s="138">
        <v>17382.89</v>
      </c>
      <c r="H31" s="138">
        <v>17382.89</v>
      </c>
      <c r="I31" s="138">
        <v>17382.89</v>
      </c>
      <c r="J31" s="138">
        <v>17382.89</v>
      </c>
      <c r="K31" s="138">
        <v>17382.89</v>
      </c>
      <c r="L31" s="138">
        <v>17382.89</v>
      </c>
      <c r="M31" s="138">
        <v>17382.89</v>
      </c>
      <c r="N31" s="57">
        <f t="shared" si="3"/>
        <v>208594.68000000005</v>
      </c>
    </row>
    <row r="32" spans="1:14" ht="15">
      <c r="A32" s="133" t="s">
        <v>59</v>
      </c>
      <c r="B32" s="138">
        <f>3400+(1*(B5-10882.89)/2)+5441.445</f>
        <v>9113.517329331615</v>
      </c>
      <c r="C32" s="138">
        <f aca="true" t="shared" si="5" ref="C32:M32">3400+(1*(C5-10882.89)/2)+5441.445</f>
        <v>9399.193195798194</v>
      </c>
      <c r="D32" s="138">
        <f t="shared" si="5"/>
        <v>9699.152855588105</v>
      </c>
      <c r="E32" s="138">
        <f t="shared" si="5"/>
        <v>10014.11049836751</v>
      </c>
      <c r="F32" s="138">
        <f t="shared" si="5"/>
        <v>10344.816023285886</v>
      </c>
      <c r="G32" s="138">
        <f t="shared" si="5"/>
        <v>10692.056824450181</v>
      </c>
      <c r="H32" s="138">
        <f t="shared" si="5"/>
        <v>11056.65966567269</v>
      </c>
      <c r="I32" s="138">
        <f t="shared" si="5"/>
        <v>11439.492648956326</v>
      </c>
      <c r="J32" s="138">
        <f t="shared" si="5"/>
        <v>11841.467281404142</v>
      </c>
      <c r="K32" s="138">
        <f t="shared" si="5"/>
        <v>12263.54064547435</v>
      </c>
      <c r="L32" s="138">
        <f t="shared" si="5"/>
        <v>12706.717677748067</v>
      </c>
      <c r="M32" s="138">
        <f t="shared" si="5"/>
        <v>13172.053561635472</v>
      </c>
      <c r="N32" s="34">
        <f>SUM(B32:M32)</f>
        <v>131742.77820771252</v>
      </c>
    </row>
    <row r="33" spans="1:14" ht="15.75" thickBot="1">
      <c r="A33" s="133" t="s">
        <v>58</v>
      </c>
      <c r="B33" s="138">
        <f>3400+(1*(B5-10882.89)/2)</f>
        <v>3672.072329331614</v>
      </c>
      <c r="C33" s="138">
        <f aca="true" t="shared" si="6" ref="C33:M33">3400+(1*(C5-10882.89)/2)</f>
        <v>3957.7481957981954</v>
      </c>
      <c r="D33" s="138">
        <f t="shared" si="6"/>
        <v>4257.707855588105</v>
      </c>
      <c r="E33" s="138">
        <f t="shared" si="6"/>
        <v>4572.665498367511</v>
      </c>
      <c r="F33" s="138">
        <f t="shared" si="6"/>
        <v>4903.371023285887</v>
      </c>
      <c r="G33" s="138">
        <f t="shared" si="6"/>
        <v>5250.611824450181</v>
      </c>
      <c r="H33" s="138">
        <f t="shared" si="6"/>
        <v>5615.214665672691</v>
      </c>
      <c r="I33" s="138">
        <f t="shared" si="6"/>
        <v>5998.047648956326</v>
      </c>
      <c r="J33" s="138">
        <f t="shared" si="6"/>
        <v>6400.022281404143</v>
      </c>
      <c r="K33" s="138">
        <f t="shared" si="6"/>
        <v>6822.09564547435</v>
      </c>
      <c r="L33" s="138">
        <f t="shared" si="6"/>
        <v>7265.2726777480675</v>
      </c>
      <c r="M33" s="138">
        <f t="shared" si="6"/>
        <v>7730.608561635472</v>
      </c>
      <c r="N33" s="34">
        <f>SUM(B33:M33)</f>
        <v>66445.43820771253</v>
      </c>
    </row>
    <row r="34" spans="1:14" ht="15.75" thickBot="1">
      <c r="A34" s="134" t="s">
        <v>94</v>
      </c>
      <c r="B34" s="22">
        <f aca="true" t="shared" si="7" ref="B34:M34">B7-SUM(B9:B33)</f>
        <v>427014.3898611306</v>
      </c>
      <c r="C34" s="22">
        <f t="shared" si="7"/>
        <v>260589.7001041877</v>
      </c>
      <c r="D34" s="22">
        <f t="shared" si="7"/>
        <v>491459.93995939684</v>
      </c>
      <c r="E34" s="22">
        <f t="shared" si="7"/>
        <v>519574.941807366</v>
      </c>
      <c r="F34" s="22">
        <f t="shared" si="7"/>
        <v>354073.1937477351</v>
      </c>
      <c r="G34" s="22">
        <f t="shared" si="7"/>
        <v>590388.1662851209</v>
      </c>
      <c r="H34" s="22">
        <f t="shared" si="7"/>
        <v>628886.3015493774</v>
      </c>
      <c r="I34" s="22">
        <f t="shared" si="7"/>
        <v>469535.5935768462</v>
      </c>
      <c r="J34" s="22">
        <f t="shared" si="7"/>
        <v>707784.1582056889</v>
      </c>
      <c r="K34" s="22">
        <f t="shared" si="7"/>
        <v>753063.8151659728</v>
      </c>
      <c r="L34" s="22">
        <f t="shared" si="7"/>
        <v>796308.7049742718</v>
      </c>
      <c r="M34" s="22">
        <f t="shared" si="7"/>
        <v>646558.8972729854</v>
      </c>
      <c r="N34" s="23">
        <f>SUM(B34:M34)</f>
        <v>6645237.802510079</v>
      </c>
    </row>
    <row r="37" spans="1:14" ht="15">
      <c r="A37" s="173" t="s">
        <v>211</v>
      </c>
      <c r="B37" s="173"/>
      <c r="C37" s="173"/>
      <c r="D37" s="173"/>
      <c r="E37" s="173"/>
      <c r="F37" s="173"/>
      <c r="G37" s="173"/>
      <c r="H37" s="173"/>
      <c r="I37" s="173"/>
      <c r="J37" s="173"/>
      <c r="K37" s="173"/>
      <c r="L37" s="173"/>
      <c r="M37" s="173"/>
      <c r="N37" s="173"/>
    </row>
    <row r="38" spans="1:14" ht="15">
      <c r="A38" s="173"/>
      <c r="B38" s="173"/>
      <c r="C38" s="173"/>
      <c r="D38" s="173"/>
      <c r="E38" s="173"/>
      <c r="F38" s="173"/>
      <c r="G38" s="173"/>
      <c r="H38" s="173"/>
      <c r="I38" s="173"/>
      <c r="J38" s="173"/>
      <c r="K38" s="173"/>
      <c r="L38" s="173"/>
      <c r="M38" s="173"/>
      <c r="N38" s="173"/>
    </row>
    <row r="39" spans="1:14" ht="15">
      <c r="A39" s="173"/>
      <c r="B39" s="173"/>
      <c r="C39" s="173"/>
      <c r="D39" s="173"/>
      <c r="E39" s="173"/>
      <c r="F39" s="173"/>
      <c r="G39" s="173"/>
      <c r="H39" s="173"/>
      <c r="I39" s="173"/>
      <c r="J39" s="173"/>
      <c r="K39" s="173"/>
      <c r="L39" s="173"/>
      <c r="M39" s="173"/>
      <c r="N39" s="173"/>
    </row>
    <row r="40" spans="1:14" ht="15">
      <c r="A40" s="173"/>
      <c r="B40" s="173"/>
      <c r="C40" s="173"/>
      <c r="D40" s="173"/>
      <c r="E40" s="173"/>
      <c r="F40" s="173"/>
      <c r="G40" s="173"/>
      <c r="H40" s="173"/>
      <c r="I40" s="173"/>
      <c r="J40" s="173"/>
      <c r="K40" s="173"/>
      <c r="L40" s="173"/>
      <c r="M40" s="173"/>
      <c r="N40" s="173"/>
    </row>
    <row r="41" spans="1:14" ht="15">
      <c r="A41" s="173"/>
      <c r="B41" s="173"/>
      <c r="C41" s="173"/>
      <c r="D41" s="173"/>
      <c r="E41" s="173"/>
      <c r="F41" s="173"/>
      <c r="G41" s="173"/>
      <c r="H41" s="173"/>
      <c r="I41" s="173"/>
      <c r="J41" s="173"/>
      <c r="K41" s="173"/>
      <c r="L41" s="173"/>
      <c r="M41" s="173"/>
      <c r="N41" s="173"/>
    </row>
    <row r="42" spans="1:14" ht="15">
      <c r="A42" s="173"/>
      <c r="B42" s="173"/>
      <c r="C42" s="173"/>
      <c r="D42" s="173"/>
      <c r="E42" s="173"/>
      <c r="F42" s="173"/>
      <c r="G42" s="173"/>
      <c r="H42" s="173"/>
      <c r="I42" s="173"/>
      <c r="J42" s="173"/>
      <c r="K42" s="173"/>
      <c r="L42" s="173"/>
      <c r="M42" s="173"/>
      <c r="N42" s="173"/>
    </row>
    <row r="44" spans="2:7" ht="15">
      <c r="B44" s="174" t="s">
        <v>208</v>
      </c>
      <c r="C44" s="174"/>
      <c r="D44" s="174"/>
      <c r="E44" s="174"/>
      <c r="F44" s="174"/>
      <c r="G44" s="174"/>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 Volpe III, PMP</dc:creator>
  <cp:keywords/>
  <dc:description/>
  <cp:lastModifiedBy>William H. Volpe III</cp:lastModifiedBy>
  <cp:lastPrinted>2010-07-13T18:47:47Z</cp:lastPrinted>
  <dcterms:created xsi:type="dcterms:W3CDTF">2009-04-01T22:55:11Z</dcterms:created>
  <dcterms:modified xsi:type="dcterms:W3CDTF">2018-02-20T12:30:04Z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