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1655" tabRatio="819" activeTab="0"/>
  </bookViews>
  <sheets>
    <sheet name="Overall Summary (PERT)" sheetId="1" r:id="rId1"/>
    <sheet name="Summary Best" sheetId="2" r:id="rId2"/>
    <sheet name="Summary Most Likely" sheetId="3" r:id="rId3"/>
    <sheet name="Summary Worst" sheetId="4" r:id="rId4"/>
    <sheet name="FY 0 Best" sheetId="5" r:id="rId5"/>
    <sheet name="FY 1 Best" sheetId="6" r:id="rId6"/>
    <sheet name="FY 2 Best" sheetId="7" r:id="rId7"/>
    <sheet name="FY 3 Best" sheetId="8" r:id="rId8"/>
    <sheet name="FY 4 Best" sheetId="9" r:id="rId9"/>
    <sheet name="FY 5 Best" sheetId="10" r:id="rId10"/>
    <sheet name="FY 0 Most Likely" sheetId="11" r:id="rId11"/>
    <sheet name="FY 1 Most Likely" sheetId="12" r:id="rId12"/>
    <sheet name="FY 2 Most Likely" sheetId="13" r:id="rId13"/>
    <sheet name="FY 3 Most Likely" sheetId="14" r:id="rId14"/>
    <sheet name="FY 4 Most Likely" sheetId="15" r:id="rId15"/>
    <sheet name="FY 5 Most Likely" sheetId="16" r:id="rId16"/>
    <sheet name="FY 0 Worst" sheetId="17" r:id="rId17"/>
    <sheet name="FY 1 Worst" sheetId="18" r:id="rId18"/>
    <sheet name="FY 2 Worst" sheetId="19" r:id="rId19"/>
    <sheet name="FY 3 Worst" sheetId="20" r:id="rId20"/>
    <sheet name="FY 4 Worst" sheetId="21" r:id="rId21"/>
    <sheet name="FY 5 Worst" sheetId="22" r:id="rId22"/>
    <sheet name="6 Year Cash Flow (Best)" sheetId="23" r:id="rId23"/>
    <sheet name="6 Year Cash Flow (Most Likely)" sheetId="24" r:id="rId24"/>
    <sheet name="6 Year Cash Flow (Worst)" sheetId="25" r:id="rId25"/>
    <sheet name="Balance Sht.-6 Yr. Best " sheetId="26" r:id="rId26"/>
    <sheet name="Balance Sht.-6 Yr. Most Likely" sheetId="27" r:id="rId27"/>
    <sheet name="Balance Sht.-6 Yr. Worst" sheetId="28" r:id="rId28"/>
    <sheet name="Income Stmt - 6 Yr. Best " sheetId="29" r:id="rId29"/>
    <sheet name="Income Stmt 6 Yr. Most Likely" sheetId="30" r:id="rId30"/>
    <sheet name="Income Stmt - 6 Yr. Worst" sheetId="31" r:id="rId31"/>
    <sheet name="Timing Difference" sheetId="32" r:id="rId32"/>
    <sheet name="Factory Startup G&amp;A" sheetId="33" state="hidden" r:id="rId33"/>
    <sheet name="Calcs" sheetId="34" state="hidden" r:id="rId34"/>
    <sheet name="Cost Per Batch" sheetId="35" state="hidden" r:id="rId35"/>
  </sheets>
  <definedNames>
    <definedName name="_xlfn.GAMMA.DIST" hidden="1">#NAME?</definedName>
    <definedName name="Bottled_Water_System_Chart_" localSheetId="33">'Calcs'!$K$1</definedName>
    <definedName name="_xlnm.Print_Area" localSheetId="10">'FY 0 Most Likely'!$A$1:$N$34</definedName>
    <definedName name="Projection">#REF!</definedName>
  </definedNames>
  <calcPr fullCalcOnLoad="1"/>
</workbook>
</file>

<file path=xl/comments26.xml><?xml version="1.0" encoding="utf-8"?>
<comments xmlns="http://schemas.openxmlformats.org/spreadsheetml/2006/main">
  <authors>
    <author> </author>
  </authors>
  <commentList>
    <comment ref="A12" authorId="0">
      <text>
        <r>
          <rPr>
            <b/>
            <sz val="8"/>
            <rFont val="Tahoma"/>
            <family val="2"/>
          </rPr>
          <t xml:space="preserve">From 5 Yr Cash Flow Best.
</t>
        </r>
      </text>
    </comment>
    <comment ref="A13" authorId="0">
      <text>
        <r>
          <rPr>
            <b/>
            <sz val="8"/>
            <rFont val="Tahoma"/>
            <family val="2"/>
          </rPr>
          <t>All sales assumed to be credit with 30 day terms.</t>
        </r>
      </text>
    </comment>
    <comment ref="A14" authorId="0">
      <text>
        <r>
          <rPr>
            <b/>
            <sz val="8"/>
            <rFont val="Tahoma"/>
            <family val="2"/>
          </rPr>
          <t>Assumptions: Inventory turn is 60 days and 2 months of raw materials, WIP and Finish Goods on hand.</t>
        </r>
        <r>
          <rPr>
            <sz val="8"/>
            <rFont val="Tahoma"/>
            <family val="2"/>
          </rPr>
          <t xml:space="preserve">
</t>
        </r>
      </text>
    </comment>
    <comment ref="A18" authorId="0">
      <text>
        <r>
          <rPr>
            <b/>
            <sz val="8"/>
            <rFont val="Tahoma"/>
            <family val="2"/>
          </rPr>
          <t>Assumptions: Mfg Line goes in operation on Jan 1 with a 5 year depreciation period.</t>
        </r>
      </text>
    </comment>
  </commentList>
</comments>
</file>

<file path=xl/comments27.xml><?xml version="1.0" encoding="utf-8"?>
<comments xmlns="http://schemas.openxmlformats.org/spreadsheetml/2006/main">
  <authors>
    <author> </author>
  </authors>
  <commentList>
    <comment ref="A12" authorId="0">
      <text>
        <r>
          <rPr>
            <b/>
            <sz val="8"/>
            <rFont val="Tahoma"/>
            <family val="2"/>
          </rPr>
          <t>From 5 Yr Cash Flow Most Likely.</t>
        </r>
      </text>
    </comment>
    <comment ref="A13" authorId="0">
      <text>
        <r>
          <rPr>
            <b/>
            <sz val="8"/>
            <rFont val="Tahoma"/>
            <family val="2"/>
          </rPr>
          <t>All sales assumed to be credit with 30 day terms.</t>
        </r>
      </text>
    </comment>
    <comment ref="A14" authorId="0">
      <text>
        <r>
          <rPr>
            <b/>
            <sz val="8"/>
            <rFont val="Tahoma"/>
            <family val="2"/>
          </rPr>
          <t>Assumptions: Inventory turn is 60 days and 2 months of raw materials, WIP and Finish Goods on hand.</t>
        </r>
        <r>
          <rPr>
            <sz val="8"/>
            <rFont val="Tahoma"/>
            <family val="2"/>
          </rPr>
          <t xml:space="preserve">
</t>
        </r>
      </text>
    </comment>
    <comment ref="A18" authorId="0">
      <text>
        <r>
          <rPr>
            <b/>
            <sz val="8"/>
            <rFont val="Tahoma"/>
            <family val="2"/>
          </rPr>
          <t>Assumptions: Mfg Line goes in operation on Jan 1 with a 5 year depreciation period.</t>
        </r>
      </text>
    </comment>
  </commentList>
</comments>
</file>

<file path=xl/comments28.xml><?xml version="1.0" encoding="utf-8"?>
<comments xmlns="http://schemas.openxmlformats.org/spreadsheetml/2006/main">
  <authors>
    <author> </author>
  </authors>
  <commentList>
    <comment ref="A12" authorId="0">
      <text>
        <r>
          <rPr>
            <b/>
            <sz val="8"/>
            <rFont val="Tahoma"/>
            <family val="2"/>
          </rPr>
          <t>From 5 Yr Cash Flow Worst.</t>
        </r>
      </text>
    </comment>
    <comment ref="A13" authorId="0">
      <text>
        <r>
          <rPr>
            <b/>
            <sz val="8"/>
            <rFont val="Tahoma"/>
            <family val="2"/>
          </rPr>
          <t>All sales assumed to be credit with 30 day terms.</t>
        </r>
      </text>
    </comment>
    <comment ref="A14" authorId="0">
      <text>
        <r>
          <rPr>
            <b/>
            <sz val="8"/>
            <rFont val="Tahoma"/>
            <family val="2"/>
          </rPr>
          <t xml:space="preserve">Assumptions: Inventory turn is 60 days and 2 months of raw materials, WIP and Finish Goods on hand.
</t>
        </r>
      </text>
    </comment>
    <comment ref="A18" authorId="0">
      <text>
        <r>
          <rPr>
            <b/>
            <sz val="8"/>
            <rFont val="Tahoma"/>
            <family val="2"/>
          </rPr>
          <t>Assumptions: Mfg Line goes in operation on Jan 1 with a 5 year depreciation period.</t>
        </r>
      </text>
    </comment>
  </commentList>
</comments>
</file>

<file path=xl/comments29.xml><?xml version="1.0" encoding="utf-8"?>
<comments xmlns="http://schemas.openxmlformats.org/spreadsheetml/2006/main">
  <authors>
    <author>William H. Volpe III, PMP</author>
  </authors>
  <commentList>
    <comment ref="A12" authorId="0">
      <text>
        <r>
          <rPr>
            <b/>
            <sz val="8"/>
            <rFont val="Tahoma"/>
            <family val="2"/>
          </rPr>
          <t>William H. Volpe III, PMP:</t>
        </r>
        <r>
          <rPr>
            <sz val="8"/>
            <rFont val="Tahoma"/>
            <family val="2"/>
          </rPr>
          <t xml:space="preserve">
Temporary timing difference between capital expenditure and depreciation per GAAP.</t>
        </r>
      </text>
    </comment>
  </commentList>
</comments>
</file>

<file path=xl/comments30.xml><?xml version="1.0" encoding="utf-8"?>
<comments xmlns="http://schemas.openxmlformats.org/spreadsheetml/2006/main">
  <authors>
    <author>William H. Volpe III, PMP</author>
  </authors>
  <commentList>
    <comment ref="A12" authorId="0">
      <text>
        <r>
          <rPr>
            <b/>
            <sz val="8"/>
            <rFont val="Tahoma"/>
            <family val="2"/>
          </rPr>
          <t>William H. Volpe III, PMP:</t>
        </r>
        <r>
          <rPr>
            <sz val="8"/>
            <rFont val="Tahoma"/>
            <family val="2"/>
          </rPr>
          <t xml:space="preserve">
Temporary timing difference between capital expenditure and depreciation per GAAP.</t>
        </r>
      </text>
    </comment>
  </commentList>
</comments>
</file>

<file path=xl/comments31.xml><?xml version="1.0" encoding="utf-8"?>
<comments xmlns="http://schemas.openxmlformats.org/spreadsheetml/2006/main">
  <authors>
    <author>William H. Volpe III, PMP</author>
  </authors>
  <commentList>
    <comment ref="A12" authorId="0">
      <text>
        <r>
          <rPr>
            <b/>
            <sz val="8"/>
            <rFont val="Tahoma"/>
            <family val="2"/>
          </rPr>
          <t>William H. Volpe III, PMP:</t>
        </r>
        <r>
          <rPr>
            <sz val="8"/>
            <rFont val="Tahoma"/>
            <family val="2"/>
          </rPr>
          <t xml:space="preserve">
Temporary timing difference between capital expenditure and depreciation per GAAP.</t>
        </r>
      </text>
    </comment>
  </commentList>
</comments>
</file>

<file path=xl/comments34.xml><?xml version="1.0" encoding="utf-8"?>
<comments xmlns="http://schemas.openxmlformats.org/spreadsheetml/2006/main">
  <authors>
    <author>William H. Volpe III, PMP</author>
  </authors>
  <commentList>
    <comment ref="E14" authorId="0">
      <text>
        <r>
          <rPr>
            <b/>
            <sz val="8"/>
            <rFont val="Tahoma"/>
            <family val="2"/>
          </rPr>
          <t>William H. Volpe III, PMP:</t>
        </r>
        <r>
          <rPr>
            <sz val="8"/>
            <rFont val="Tahoma"/>
            <family val="2"/>
          </rPr>
          <t xml:space="preserve">
Pricing 1 L to compete with Grey Goose 750ml</t>
        </r>
      </text>
    </comment>
  </commentList>
</comments>
</file>

<file path=xl/sharedStrings.xml><?xml version="1.0" encoding="utf-8"?>
<sst xmlns="http://schemas.openxmlformats.org/spreadsheetml/2006/main" count="1452" uniqueCount="299">
  <si>
    <t>Mash</t>
  </si>
  <si>
    <t>Tax</t>
  </si>
  <si>
    <t>Activity</t>
  </si>
  <si>
    <t>Time</t>
  </si>
  <si>
    <t>Distill</t>
  </si>
  <si>
    <t>End Product</t>
  </si>
  <si>
    <t>Equipment</t>
  </si>
  <si>
    <t>Permiting</t>
  </si>
  <si>
    <t>Fed Surity bond</t>
  </si>
  <si>
    <t>Amount</t>
  </si>
  <si>
    <t>Extended Amount</t>
  </si>
  <si>
    <t>Turbo 48</t>
  </si>
  <si>
    <t>Quantity</t>
  </si>
  <si>
    <t>Carbon &amp; Filters</t>
  </si>
  <si>
    <t>Total</t>
  </si>
  <si>
    <t>Cost</t>
  </si>
  <si>
    <t>Distilled Water (Gal.)</t>
  </si>
  <si>
    <t>Essences (Bottle)</t>
  </si>
  <si>
    <t>Sparkolloid Clearing Agent (oz.)</t>
  </si>
  <si>
    <t>Sugar (Pound)</t>
  </si>
  <si>
    <t>Mash (Gal)</t>
  </si>
  <si>
    <t>Cut (Gal)</t>
  </si>
  <si>
    <t>Makes 7 Gallons of Mash</t>
  </si>
  <si>
    <t>Power</t>
  </si>
  <si>
    <t>kwh cost</t>
  </si>
  <si>
    <t>Time (Hrs)</t>
  </si>
  <si>
    <t>Cost / Bottle</t>
  </si>
  <si>
    <t>Quart / Liter Conversion</t>
  </si>
  <si>
    <t>Cost/Batch</t>
  </si>
  <si>
    <t>Box / 12</t>
  </si>
  <si>
    <t>Box</t>
  </si>
  <si>
    <t xml:space="preserve">GP$ </t>
  </si>
  <si>
    <t>End Customer</t>
  </si>
  <si>
    <t>Sale Per Bottle</t>
  </si>
  <si>
    <t>Per Case</t>
  </si>
  <si>
    <t>Margin</t>
  </si>
  <si>
    <t>Target</t>
  </si>
  <si>
    <t>Label &amp; Cap</t>
  </si>
  <si>
    <t>300 Gallon Still</t>
  </si>
  <si>
    <t>Facility Rebuild</t>
  </si>
  <si>
    <t>Employee 1</t>
  </si>
  <si>
    <t>Employee 2</t>
  </si>
  <si>
    <t>Employee 3</t>
  </si>
  <si>
    <t>Maintenance Budget</t>
  </si>
  <si>
    <t>Grain Silo</t>
  </si>
  <si>
    <t>Electricity</t>
  </si>
  <si>
    <t>Water / Gas</t>
  </si>
  <si>
    <t>Building</t>
  </si>
  <si>
    <t>Commute/Office Expense</t>
  </si>
  <si>
    <t>Lodging</t>
  </si>
  <si>
    <t>Lodging Expense</t>
  </si>
  <si>
    <t>Marketing and Sales Exec</t>
  </si>
  <si>
    <t>Marketing/Commissions</t>
  </si>
  <si>
    <t>Per Month</t>
  </si>
  <si>
    <t>Sale</t>
  </si>
  <si>
    <t>Income</t>
  </si>
  <si>
    <t>COGS</t>
  </si>
  <si>
    <t>Month</t>
  </si>
  <si>
    <t>Marketing and Sales Exec 2</t>
  </si>
  <si>
    <t>Marketing and Sales Exec 1</t>
  </si>
  <si>
    <t>Employee 4</t>
  </si>
  <si>
    <t>Supplies / Tools</t>
  </si>
  <si>
    <t>Supplies/Tools</t>
  </si>
  <si>
    <t>Still Size</t>
  </si>
  <si>
    <t>Cases / Run</t>
  </si>
  <si>
    <t>Production Supervisor</t>
  </si>
  <si>
    <t>Master Distiller</t>
  </si>
  <si>
    <t>General Manager</t>
  </si>
  <si>
    <t>Fiscal Year</t>
  </si>
  <si>
    <t>FY 1</t>
  </si>
  <si>
    <t>%</t>
  </si>
  <si>
    <t>Variance</t>
  </si>
  <si>
    <t>Std. Deviation</t>
  </si>
  <si>
    <t>FY 2</t>
  </si>
  <si>
    <t>FY 3</t>
  </si>
  <si>
    <t>FY 0</t>
  </si>
  <si>
    <t>FY 4</t>
  </si>
  <si>
    <t>FY 5</t>
  </si>
  <si>
    <t>Best Case</t>
  </si>
  <si>
    <t>Most Likely Case</t>
  </si>
  <si>
    <t>Worst Case</t>
  </si>
  <si>
    <t>Weighted Mean</t>
  </si>
  <si>
    <t>Low Side ROI</t>
  </si>
  <si>
    <t>High Side ROI</t>
  </si>
  <si>
    <t>Water Cost - Cedar</t>
  </si>
  <si>
    <t>Bottle Cost</t>
  </si>
  <si>
    <t>Water</t>
  </si>
  <si>
    <t>Cost/Bottle</t>
  </si>
  <si>
    <t>Quart/Liter</t>
  </si>
  <si>
    <t>Wholesaler Cost</t>
  </si>
  <si>
    <t>Retail Cost</t>
  </si>
  <si>
    <t>Raw Cost / Liter</t>
  </si>
  <si>
    <t>Total Cost/Liter</t>
  </si>
  <si>
    <t>TX Distillers</t>
  </si>
  <si>
    <t>EBITA</t>
  </si>
  <si>
    <t>Sales Incentives</t>
  </si>
  <si>
    <t>Marketing / Spiffs</t>
  </si>
  <si>
    <t>2nd Shift Supervisor</t>
  </si>
  <si>
    <t>Loss / Run</t>
  </si>
  <si>
    <t>Cut/Run (Liters)</t>
  </si>
  <si>
    <t xml:space="preserve">Dual stills / Month </t>
  </si>
  <si>
    <t>Cases / Month / 2 stills</t>
  </si>
  <si>
    <t>Stills</t>
  </si>
  <si>
    <t>Collection Tank</t>
  </si>
  <si>
    <t>Mixing Point</t>
  </si>
  <si>
    <t>2 stage filtration</t>
  </si>
  <si>
    <t>3 stage filtration</t>
  </si>
  <si>
    <t>capping</t>
  </si>
  <si>
    <t xml:space="preserve">Labeling </t>
  </si>
  <si>
    <t>Packaging</t>
  </si>
  <si>
    <t>Track</t>
  </si>
  <si>
    <t>Bottling/Filling</t>
  </si>
  <si>
    <t>Bottling cleaners</t>
  </si>
  <si>
    <t>Bottled Water System Chart</t>
  </si>
  <si>
    <t>Line Model</t>
  </si>
  <si>
    <t>System Description</t>
  </si>
  <si>
    <t>Hourly Output</t>
  </si>
  <si>
    <t>Staff Needed</t>
  </si>
  <si>
    <t>Approx Cost</t>
  </si>
  <si>
    <t>BWL600BF</t>
  </si>
  <si>
    <t>Benchtop Manual filling machine</t>
  </si>
  <si>
    <t>BWL600BF-MC</t>
  </si>
  <si>
    <t>Benchtop Manual filling machine - hand capper</t>
  </si>
  <si>
    <t>BWL600BF-MC-SL</t>
  </si>
  <si>
    <t>Benchtop Manual filling machine - hand capper - semi-automatic labeler</t>
  </si>
  <si>
    <t>BWL1200MF-MC-SL</t>
  </si>
  <si>
    <t>Semi-Manual filling machine - hand capper- semi-automatic labeler</t>
  </si>
  <si>
    <t>600 to</t>
  </si>
  <si>
    <t>1200*</t>
  </si>
  <si>
    <t>BWL1000BF</t>
  </si>
  <si>
    <t>2HD Benchtop Manual filling machine</t>
  </si>
  <si>
    <t>BWL1000BF-MC</t>
  </si>
  <si>
    <t>2HD Benchtop Manual filling machine- hand capper</t>
  </si>
  <si>
    <t>BWL1000BF-MC-SL</t>
  </si>
  <si>
    <t>2HD Benchtop Manual filling machine- hand capper- semi automatic labeler</t>
  </si>
  <si>
    <t>BWL1200SF-MC-SL</t>
  </si>
  <si>
    <t>Semi-automatic filling machine - hand capper- semi-automatic labeler</t>
  </si>
  <si>
    <t>BWL1200SF-VAR-MC-SL</t>
  </si>
  <si>
    <t>Semi-automatic filling machine - vacuum air rinse - hand capper- semi-automatic labeler</t>
  </si>
  <si>
    <t>BWL1200AF-MC-SL</t>
  </si>
  <si>
    <t>Automatic filling machine - hand capper- semi-automatic label</t>
  </si>
  <si>
    <t>BWL1200AF-VAR-MC-SL</t>
  </si>
  <si>
    <t>Automatic filling machine - vacuum air rinse - hand capper- semi-automatic label</t>
  </si>
  <si>
    <t>BWL1800MF-MC2-SL2</t>
  </si>
  <si>
    <t>Manual filling machine - hand capper- (two stations) - semi-automatic label (two stations)</t>
  </si>
  <si>
    <t>BWL1800SF-MC2-SL2</t>
  </si>
  <si>
    <t>Semi-automatic filling machine - manual cap (two stations) - semi-automatic label (two stations)</t>
  </si>
  <si>
    <t>BWL1800SF-VAR-MC2-SL2</t>
  </si>
  <si>
    <t>Semi-automatic filling machine - vacuum air rinse - manual cap (two stations) - semi-automatic label (two stations)</t>
  </si>
  <si>
    <t>BWL1800AF-MC2-SL2</t>
  </si>
  <si>
    <t>Automatic filling machine - manual cap (two stations) - semi-automatic label (two stations)</t>
  </si>
  <si>
    <t>BWL1800AF-VAR-MC2-SL2</t>
  </si>
  <si>
    <t>Automatic filling machine - vacuum air rinse - manual cap (two stations), semi-automatic label (two stations)</t>
  </si>
  <si>
    <t>BWL1800AF-VAR-MC2-AL</t>
  </si>
  <si>
    <t>Automatic filling machine - manual cap (two stations) - automatic label</t>
  </si>
  <si>
    <t>BWL1800AF-MC2-AL</t>
  </si>
  <si>
    <t>BWL2000AF-SC-AL</t>
  </si>
  <si>
    <t>Automatic filling machine - semi-automatic cap - automatic label</t>
  </si>
  <si>
    <t>BWL2000AF-VAR-SC-AL</t>
  </si>
  <si>
    <t>Automatic filling machine - automatic vacuum air rinse - semi-automatic cap - automatic label</t>
  </si>
  <si>
    <t>BWL2000AF-AC-AL</t>
  </si>
  <si>
    <t>Automatic filling machine - automatic cap - automatic label</t>
  </si>
  <si>
    <t>BWL2000AF-VAR-AC-AL</t>
  </si>
  <si>
    <t>Automatic filling machine - automatic vacuum air rinse - automatic cap - automatic label</t>
  </si>
  <si>
    <t>BWL3000AF-AC-AL</t>
  </si>
  <si>
    <t>BWL3000AF-VAR-AC-AL</t>
  </si>
  <si>
    <t>BWL3600AF-AC-AL</t>
  </si>
  <si>
    <t>BWL3600AF-VAR-AC-AL</t>
  </si>
  <si>
    <t>BWL4300AF-AC-AL</t>
  </si>
  <si>
    <t>BWL4300AF-VAR-AC-AL</t>
  </si>
  <si>
    <t>BWL5200AF-AC-AL</t>
  </si>
  <si>
    <t>BWL5200AF-VAR-AC-AL</t>
  </si>
  <si>
    <t>BWL6000AF-AC-AL</t>
  </si>
  <si>
    <t>BWL6000AF-VAR-AC-AL</t>
  </si>
  <si>
    <t>http://www.filtrationsystems.com/brochures/eng_8_Bulletin%20B1.pdf</t>
  </si>
  <si>
    <t>http://www.filtrationsystems.com/filterselectionws.htm</t>
  </si>
  <si>
    <t>Cell Phones</t>
  </si>
  <si>
    <t>Legal</t>
  </si>
  <si>
    <t>CPA</t>
  </si>
  <si>
    <t>Office Ops Staff</t>
  </si>
  <si>
    <t>Miscellaneous Office</t>
  </si>
  <si>
    <t>Pest control</t>
  </si>
  <si>
    <t>Janitorial/Cleaning (Office)</t>
  </si>
  <si>
    <t>Office Equipment Startup</t>
  </si>
  <si>
    <t>Phone/cable/internet</t>
  </si>
  <si>
    <t>Unit Cost</t>
  </si>
  <si>
    <t>Extended Cost</t>
  </si>
  <si>
    <t>FY 1 Cash Flow</t>
  </si>
  <si>
    <t>YR 1</t>
  </si>
  <si>
    <t>YR 2</t>
  </si>
  <si>
    <t>Bank Balance</t>
  </si>
  <si>
    <t>FY 3 Cash Flow</t>
  </si>
  <si>
    <t>YR 3</t>
  </si>
  <si>
    <t>Loss (20%)</t>
  </si>
  <si>
    <t>Mfg. Line Capital Equipment</t>
  </si>
  <si>
    <t>Revenue</t>
  </si>
  <si>
    <t>Expenses</t>
  </si>
  <si>
    <t>FY 0 Cash Flow</t>
  </si>
  <si>
    <t>Shift 1</t>
  </si>
  <si>
    <t>Shift 2</t>
  </si>
  <si>
    <t>Shift 3</t>
  </si>
  <si>
    <t>Shift 4</t>
  </si>
  <si>
    <t>Night Shift Supervisor(s)</t>
  </si>
  <si>
    <t>Day Shift Supervisor(s)</t>
  </si>
  <si>
    <t>Board Compensation</t>
  </si>
  <si>
    <t>FY 2 Cash Flow</t>
  </si>
  <si>
    <t>FY 4 Cash Flow</t>
  </si>
  <si>
    <t>FY 5 Cash Flow</t>
  </si>
  <si>
    <t>Site Improvements</t>
  </si>
  <si>
    <t>YR 0</t>
  </si>
  <si>
    <t>YR 4</t>
  </si>
  <si>
    <t>YR 5</t>
  </si>
  <si>
    <t>Bank Balance (Starting Balance $4,000,000)</t>
  </si>
  <si>
    <t>6 Yr. Totals</t>
  </si>
  <si>
    <t>V.P. Marketing and Sales</t>
  </si>
  <si>
    <t>Pemitting / Licensing</t>
  </si>
  <si>
    <t>6 Year Totals</t>
  </si>
  <si>
    <t>Assets</t>
  </si>
  <si>
    <t>Cash and cash equivalents</t>
  </si>
  <si>
    <t>Total Inventory</t>
  </si>
  <si>
    <t>Total Current Assets</t>
  </si>
  <si>
    <t>Total Assets</t>
  </si>
  <si>
    <t>Liabilities</t>
  </si>
  <si>
    <t>Accounts Payable and accrued expenses</t>
  </si>
  <si>
    <t>Stockholder's Equity</t>
  </si>
  <si>
    <t>Total stockholders' equity</t>
  </si>
  <si>
    <t>Total liabilities and stockholders' equity</t>
  </si>
  <si>
    <t>Total Liabilities</t>
  </si>
  <si>
    <t>Retained Earnings</t>
  </si>
  <si>
    <t>As of 12/31 FY 1</t>
  </si>
  <si>
    <t>As of 12/31 FY 0</t>
  </si>
  <si>
    <t>As of 12/31 FY 2</t>
  </si>
  <si>
    <t>As of 12/31 FY 3</t>
  </si>
  <si>
    <t>As of 12/31 FY 4</t>
  </si>
  <si>
    <t>As of 12/31 FY 5</t>
  </si>
  <si>
    <t>Temporary Timing Difference</t>
  </si>
  <si>
    <t>Line 3 - FY 3</t>
  </si>
  <si>
    <t>Line 1 - FY 1</t>
  </si>
  <si>
    <t>Line 5 - FY 4</t>
  </si>
  <si>
    <t>Line 6 - FY 4</t>
  </si>
  <si>
    <t>Line 7 - FY 5</t>
  </si>
  <si>
    <t>FY 6</t>
  </si>
  <si>
    <t>FY 7</t>
  </si>
  <si>
    <t>FY 8</t>
  </si>
  <si>
    <t xml:space="preserve">FY 9 </t>
  </si>
  <si>
    <t>FY 10</t>
  </si>
  <si>
    <t xml:space="preserve">Accounts Receivable </t>
  </si>
  <si>
    <t>Depreciation Schedule</t>
  </si>
  <si>
    <t>Initial Stock Issue</t>
  </si>
  <si>
    <t>Accumulated Depreciation</t>
  </si>
  <si>
    <t>Property, Plant and Equipment</t>
  </si>
  <si>
    <t>Line 1 - FY 0</t>
  </si>
  <si>
    <t>Line 2- FY 1</t>
  </si>
  <si>
    <t>Line 3 - FY 2</t>
  </si>
  <si>
    <t>Line 5 - FY 3</t>
  </si>
  <si>
    <t>Line 7 - FY 4</t>
  </si>
  <si>
    <t>Line 8- FY 5</t>
  </si>
  <si>
    <t>Line 4 - FY 2</t>
  </si>
  <si>
    <t>Line 6 - FY 3</t>
  </si>
  <si>
    <t>Line 8- FY 4</t>
  </si>
  <si>
    <t>Line 9- FY 4</t>
  </si>
  <si>
    <t>Line 10 -FY 4</t>
  </si>
  <si>
    <t>Line 11 -FY 5</t>
  </si>
  <si>
    <t>Line 12 -FY 5</t>
  </si>
  <si>
    <t>Totals</t>
  </si>
  <si>
    <t>Depreciation Schedule Amounts</t>
  </si>
  <si>
    <t>Total Cash Acquisition Amount</t>
  </si>
  <si>
    <t>Timing Difference For Best Case</t>
  </si>
  <si>
    <t>Timing Difference for Most Likely Case</t>
  </si>
  <si>
    <t>Line 2- FY 2</t>
  </si>
  <si>
    <t>Line 4 - FY 4</t>
  </si>
  <si>
    <t>Timing Difference for Worst Case</t>
  </si>
  <si>
    <t>Line 5 - FY 5</t>
  </si>
  <si>
    <t>Timing Difference For Most Likely Case</t>
  </si>
  <si>
    <t>Timing Difference For Worst Case</t>
  </si>
  <si>
    <t>BEST CASE - 12 LINES</t>
  </si>
  <si>
    <t>MOST LIKELY CASE - 8 LINES</t>
  </si>
  <si>
    <t>WORST CASE - 5 LINES</t>
  </si>
  <si>
    <t>Line 2 - FY 2</t>
  </si>
  <si>
    <t>Line 4 - FY 3</t>
  </si>
  <si>
    <t>Line 2 - FY 1</t>
  </si>
  <si>
    <t>Sale Per Product</t>
  </si>
  <si>
    <t>Sale Per Product Bundle</t>
  </si>
  <si>
    <t>Production Lines ( if applicable)</t>
  </si>
  <si>
    <t>Product Volume</t>
  </si>
  <si>
    <t>Additional Capital Equipment</t>
  </si>
  <si>
    <t>Engineer, etc.</t>
  </si>
  <si>
    <t>All financial assumptions were.......  (provide background on how the calculations were made).</t>
  </si>
  <si>
    <t>Copyright The Volpe Consortium, Inc.     contact@thevolpeconsortium.com</t>
  </si>
  <si>
    <t xml:space="preserve">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</si>
  <si>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</si>
  <si>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</si>
  <si>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</si>
  <si>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</si>
  <si>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 xml:space="preserve">The overall summary page uses PERT (Program Evaluation and Review Technique) to determine beta distribution bell curve numbers for return on investment over all three cases (Best Case, Most Likely, and Worst Case) over all six years.  Since the 1960's, PERT is a method that has been proven to have little effect on technology delivery, but great positive effect on schedule and cost overruns.
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</si>
  <si>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</si>
  <si>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</si>
  <si>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 xml:space="preserve">All financial assumptions were.......  (provide background on how the calculations were made).. </t>
  </si>
  <si>
    <t>Temporary Timing Difference Between Cash Base Income Statement and GAAP Base Income Statement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</si>
</sst>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00000000_);_(&quot;$&quot;* \(#,##0.00000000\);_(&quot;$&quot;* &quot;-&quot;????????_);_(@_)"/>
    <numFmt numFmtId="170" formatCode="_(* #,##0_);_(* \(#,##0\);_(* &quot;-&quot;??_);_(@_)"/>
    <numFmt numFmtId="171" formatCode="_(* #,##0.000_);_(* \(#,##0.000\);_(* &quot;-&quot;???_);_(@_)"/>
    <numFmt numFmtId="172" formatCode="#,##0.000_);[Red]\(#,##0.000\)"/>
    <numFmt numFmtId="173" formatCode="#,##0.0000000000_);[Red]\(#,##0.0000000000\)"/>
    <numFmt numFmtId="174" formatCode="0.00_);[Red]\(0.00\)"/>
  </numFmts>
  <fonts count="54">
    <font>
      <sz val="11"/>
      <color theme="1"/>
      <name val="Calibri"/>
      <family val="2"/>
    </font>
    <font>
      <sz val="11"/>
      <color indexed="8"/>
      <name val="Calibri"/>
      <family val="2"/>
    </font>
    <font>
      <sz val="10"/>
      <name val="Arial"/>
      <family val="2"/>
    </font>
    <font>
      <sz val="8"/>
      <name val="Tahoma"/>
      <family val="2"/>
    </font>
    <font>
      <b/>
      <sz val="8"/>
      <name val="Tahoma"/>
      <family val="2"/>
    </font>
    <font>
      <sz val="8"/>
      <name val="Arial"/>
      <family val="2"/>
    </font>
    <font>
      <b/>
      <sz val="11"/>
      <color indexed="8"/>
      <name val="Calibri"/>
      <family val="2"/>
    </font>
    <font>
      <sz val="11"/>
      <color indexed="10"/>
      <name val="Calibri"/>
      <family val="2"/>
    </font>
    <font>
      <sz val="11"/>
      <name val="Calibri"/>
      <family val="2"/>
    </font>
    <font>
      <u val="single"/>
      <sz val="11"/>
      <color indexed="8"/>
      <name val="Calibri"/>
      <family val="2"/>
    </font>
    <font>
      <b/>
      <u val="single"/>
      <sz val="11"/>
      <color indexed="8"/>
      <name val="Calibri"/>
      <family val="2"/>
    </font>
    <font>
      <i/>
      <sz val="11"/>
      <color indexed="10"/>
      <name val="Calibri"/>
      <family val="2"/>
    </font>
    <font>
      <b/>
      <sz val="10"/>
      <color indexed="20"/>
      <name val="Trebuchet MS"/>
      <family val="2"/>
    </font>
    <font>
      <sz val="10"/>
      <color indexed="8"/>
      <name val="Trebuchet MS"/>
      <family val="2"/>
    </font>
    <font>
      <i/>
      <sz val="11"/>
      <name val="Calibri"/>
      <family val="2"/>
    </font>
    <font>
      <b/>
      <sz val="14"/>
      <color indexed="8"/>
      <name val="Calibri"/>
      <family val="2"/>
    </font>
    <font>
      <sz val="14"/>
      <color indexed="8"/>
      <name val="Calibri"/>
      <family val="2"/>
    </font>
    <font>
      <b/>
      <sz val="18"/>
      <color indexed="20"/>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color indexed="63"/>
      </top>
      <bottom style="medium"/>
    </border>
    <border>
      <left style="thin"/>
      <right style="thin"/>
      <top style="thin"/>
      <bottom style="mediu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thin"/>
    </border>
    <border>
      <left style="thin"/>
      <right style="medium"/>
      <top>
        <color indexed="63"/>
      </top>
      <bottom style="thin"/>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right style="thin"/>
      <top style="thin"/>
      <bottom style="medium"/>
    </border>
    <border>
      <left style="medium"/>
      <right style="medium"/>
      <top style="thin"/>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style="medium"/>
      <bottom style="medium"/>
    </border>
    <border>
      <left style="thin"/>
      <right style="thin"/>
      <top style="thin"/>
      <bottom>
        <color indexed="63"/>
      </bottom>
    </border>
    <border>
      <left style="medium"/>
      <right style="thin"/>
      <top>
        <color indexed="63"/>
      </top>
      <bottom style="medium"/>
    </border>
    <border>
      <left style="thin"/>
      <right>
        <color indexed="63"/>
      </right>
      <top>
        <color indexed="63"/>
      </top>
      <bottom style="medium"/>
    </border>
    <border>
      <left style="medium"/>
      <right style="medium"/>
      <top/>
      <bottom style="medium"/>
    </border>
    <border>
      <left style="medium"/>
      <right>
        <color indexed="63"/>
      </right>
      <top style="thin"/>
      <bottom style="thin"/>
    </border>
    <border>
      <left style="medium"/>
      <right>
        <color indexed="63"/>
      </right>
      <top style="thin"/>
      <bottom style="double"/>
    </border>
    <border>
      <left style="medium"/>
      <right>
        <color indexed="63"/>
      </right>
      <top style="medium"/>
      <bottom style="medium"/>
    </border>
    <border>
      <left style="medium"/>
      <right>
        <color indexed="63"/>
      </right>
      <top style="medium"/>
      <bottom>
        <color indexed="63"/>
      </bottom>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5" fillId="0" borderId="0">
      <alignment/>
      <protection/>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9">
    <xf numFmtId="0" fontId="0" fillId="0" borderId="0" xfId="0" applyFont="1" applyAlignment="1">
      <alignment/>
    </xf>
    <xf numFmtId="44" fontId="1" fillId="0" borderId="0" xfId="46" applyFont="1" applyAlignment="1">
      <alignment/>
    </xf>
    <xf numFmtId="44" fontId="0" fillId="0" borderId="0" xfId="0" applyNumberFormat="1" applyAlignment="1">
      <alignment/>
    </xf>
    <xf numFmtId="0" fontId="0" fillId="0" borderId="0" xfId="0" applyAlignment="1">
      <alignment horizontal="right"/>
    </xf>
    <xf numFmtId="44" fontId="1" fillId="33" borderId="0" xfId="46" applyFont="1" applyFill="1" applyAlignment="1">
      <alignment/>
    </xf>
    <xf numFmtId="0" fontId="0" fillId="0" borderId="10" xfId="0" applyBorder="1" applyAlignment="1">
      <alignment/>
    </xf>
    <xf numFmtId="0" fontId="6" fillId="0" borderId="10" xfId="0" applyFont="1" applyBorder="1" applyAlignment="1">
      <alignment horizontal="center" vertical="center"/>
    </xf>
    <xf numFmtId="164" fontId="0" fillId="0" borderId="10" xfId="0" applyNumberFormat="1" applyBorder="1" applyAlignment="1">
      <alignment/>
    </xf>
    <xf numFmtId="164" fontId="0" fillId="0" borderId="10" xfId="0" applyNumberFormat="1" applyBorder="1" applyAlignment="1">
      <alignment horizontal="right"/>
    </xf>
    <xf numFmtId="0" fontId="0" fillId="0" borderId="10" xfId="0" applyBorder="1" applyAlignment="1">
      <alignment horizontal="center"/>
    </xf>
    <xf numFmtId="0" fontId="8" fillId="0" borderId="10" xfId="0" applyFont="1" applyBorder="1" applyAlignment="1">
      <alignment/>
    </xf>
    <xf numFmtId="164" fontId="8" fillId="0" borderId="10" xfId="0" applyNumberFormat="1" applyFont="1" applyBorder="1" applyAlignment="1">
      <alignment/>
    </xf>
    <xf numFmtId="0" fontId="8" fillId="0" borderId="10" xfId="0" applyFont="1" applyBorder="1" applyAlignment="1">
      <alignment horizontal="center"/>
    </xf>
    <xf numFmtId="164" fontId="8" fillId="0" borderId="10" xfId="0" applyNumberFormat="1" applyFont="1" applyBorder="1" applyAlignment="1">
      <alignment horizontal="right"/>
    </xf>
    <xf numFmtId="0" fontId="6" fillId="0" borderId="10" xfId="0" applyFont="1" applyBorder="1" applyAlignment="1">
      <alignment horizontal="center"/>
    </xf>
    <xf numFmtId="0" fontId="6" fillId="0" borderId="11" xfId="0" applyFont="1" applyFill="1" applyBorder="1" applyAlignment="1">
      <alignment horizontal="center"/>
    </xf>
    <xf numFmtId="164" fontId="6" fillId="0" borderId="10" xfId="0" applyNumberFormat="1" applyFont="1" applyBorder="1" applyAlignment="1">
      <alignment horizontal="right"/>
    </xf>
    <xf numFmtId="164" fontId="0" fillId="0" borderId="0" xfId="0" applyNumberFormat="1" applyAlignment="1">
      <alignment/>
    </xf>
    <xf numFmtId="0" fontId="0" fillId="0" borderId="0" xfId="0" applyAlignment="1">
      <alignment/>
    </xf>
    <xf numFmtId="9" fontId="1" fillId="0" borderId="0" xfId="63" applyFont="1" applyAlignment="1">
      <alignment/>
    </xf>
    <xf numFmtId="0" fontId="6" fillId="0" borderId="12" xfId="0" applyFont="1" applyFill="1" applyBorder="1" applyAlignment="1">
      <alignment horizontal="center"/>
    </xf>
    <xf numFmtId="44" fontId="1" fillId="0" borderId="10" xfId="46" applyFont="1" applyBorder="1" applyAlignment="1">
      <alignment/>
    </xf>
    <xf numFmtId="44" fontId="6" fillId="0" borderId="13" xfId="46" applyFont="1" applyBorder="1" applyAlignment="1">
      <alignment/>
    </xf>
    <xf numFmtId="44" fontId="6" fillId="0" borderId="14" xfId="46" applyFont="1" applyBorder="1" applyAlignment="1">
      <alignment/>
    </xf>
    <xf numFmtId="43" fontId="0" fillId="0" borderId="0" xfId="0" applyNumberForma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3" fontId="1" fillId="0" borderId="0" xfId="42" applyFont="1" applyAlignment="1">
      <alignment/>
    </xf>
    <xf numFmtId="44" fontId="1" fillId="0" borderId="19" xfId="46" applyFont="1" applyBorder="1" applyAlignment="1">
      <alignment/>
    </xf>
    <xf numFmtId="44" fontId="0" fillId="0" borderId="10" xfId="0" applyNumberFormat="1" applyBorder="1" applyAlignment="1">
      <alignment/>
    </xf>
    <xf numFmtId="44" fontId="0" fillId="0" borderId="16" xfId="0" applyNumberFormat="1" applyBorder="1" applyAlignment="1">
      <alignment/>
    </xf>
    <xf numFmtId="44" fontId="0" fillId="0" borderId="20" xfId="0" applyNumberFormat="1" applyBorder="1" applyAlignment="1">
      <alignment/>
    </xf>
    <xf numFmtId="44" fontId="6" fillId="0" borderId="13" xfId="0" applyNumberFormat="1" applyFont="1" applyBorder="1" applyAlignment="1">
      <alignment/>
    </xf>
    <xf numFmtId="44" fontId="1" fillId="0" borderId="21" xfId="46" applyFont="1" applyBorder="1" applyAlignment="1">
      <alignment/>
    </xf>
    <xf numFmtId="44" fontId="0" fillId="34" borderId="10" xfId="0" applyNumberFormat="1" applyFill="1" applyBorder="1" applyAlignment="1">
      <alignment/>
    </xf>
    <xf numFmtId="44" fontId="0" fillId="34" borderId="16" xfId="0" applyNumberFormat="1" applyFill="1" applyBorder="1" applyAlignment="1">
      <alignment/>
    </xf>
    <xf numFmtId="44" fontId="0" fillId="0" borderId="21" xfId="0" applyNumberFormat="1" applyBorder="1" applyAlignment="1">
      <alignment/>
    </xf>
    <xf numFmtId="0" fontId="0" fillId="0" borderId="22" xfId="0" applyBorder="1" applyAlignment="1">
      <alignment/>
    </xf>
    <xf numFmtId="0" fontId="0" fillId="0" borderId="23" xfId="0" applyBorder="1" applyAlignment="1">
      <alignment/>
    </xf>
    <xf numFmtId="44" fontId="0" fillId="0" borderId="18" xfId="0" applyNumberFormat="1" applyBorder="1" applyAlignment="1">
      <alignment/>
    </xf>
    <xf numFmtId="0" fontId="0" fillId="0" borderId="24" xfId="0" applyBorder="1" applyAlignment="1">
      <alignment/>
    </xf>
    <xf numFmtId="0" fontId="9" fillId="0" borderId="10" xfId="0" applyFont="1" applyBorder="1" applyAlignment="1">
      <alignment horizontal="center"/>
    </xf>
    <xf numFmtId="9" fontId="0" fillId="0" borderId="10" xfId="0" applyNumberFormat="1" applyBorder="1" applyAlignment="1">
      <alignment/>
    </xf>
    <xf numFmtId="4" fontId="0" fillId="0" borderId="10" xfId="0" applyNumberFormat="1" applyBorder="1" applyAlignment="1">
      <alignment/>
    </xf>
    <xf numFmtId="4" fontId="0" fillId="0" borderId="10" xfId="0" applyNumberFormat="1" applyBorder="1" applyAlignment="1">
      <alignment/>
    </xf>
    <xf numFmtId="164" fontId="0" fillId="0" borderId="10" xfId="0" applyNumberFormat="1" applyBorder="1" applyAlignment="1">
      <alignment/>
    </xf>
    <xf numFmtId="0" fontId="0" fillId="0" borderId="0" xfId="0" applyAlignment="1">
      <alignment horizontal="center"/>
    </xf>
    <xf numFmtId="4" fontId="0" fillId="0" borderId="10" xfId="0" applyNumberFormat="1" applyBorder="1" applyAlignment="1" quotePrefix="1">
      <alignment/>
    </xf>
    <xf numFmtId="9" fontId="10" fillId="0" borderId="10" xfId="0" applyNumberFormat="1" applyFont="1" applyBorder="1" applyAlignment="1">
      <alignment horizontal="center"/>
    </xf>
    <xf numFmtId="4" fontId="10" fillId="0" borderId="10" xfId="0" applyNumberFormat="1" applyFont="1" applyBorder="1" applyAlignment="1">
      <alignment horizontal="center"/>
    </xf>
    <xf numFmtId="0" fontId="10" fillId="0" borderId="10" xfId="0" applyFont="1" applyFill="1" applyBorder="1" applyAlignment="1">
      <alignment horizontal="center"/>
    </xf>
    <xf numFmtId="4" fontId="8" fillId="0" borderId="10" xfId="0" applyNumberFormat="1" applyFont="1" applyBorder="1" applyAlignment="1">
      <alignment/>
    </xf>
    <xf numFmtId="4" fontId="8" fillId="0" borderId="10" xfId="0" applyNumberFormat="1" applyFont="1" applyBorder="1" applyAlignment="1">
      <alignment/>
    </xf>
    <xf numFmtId="4" fontId="7" fillId="0" borderId="10" xfId="0" applyNumberFormat="1" applyFont="1" applyBorder="1" applyAlignment="1">
      <alignment/>
    </xf>
    <xf numFmtId="0" fontId="7" fillId="0" borderId="10" xfId="0" applyFont="1" applyBorder="1" applyAlignment="1">
      <alignment/>
    </xf>
    <xf numFmtId="0" fontId="0" fillId="0" borderId="25" xfId="0" applyBorder="1" applyAlignment="1">
      <alignment/>
    </xf>
    <xf numFmtId="44" fontId="1" fillId="0" borderId="16" xfId="46" applyFont="1" applyBorder="1" applyAlignment="1">
      <alignment/>
    </xf>
    <xf numFmtId="0" fontId="6" fillId="0" borderId="25" xfId="0" applyFont="1" applyBorder="1" applyAlignment="1">
      <alignment horizontal="center"/>
    </xf>
    <xf numFmtId="0" fontId="6" fillId="0" borderId="17" xfId="0" applyFont="1" applyBorder="1" applyAlignment="1">
      <alignment horizontal="center"/>
    </xf>
    <xf numFmtId="43" fontId="1" fillId="0" borderId="16" xfId="42" applyFont="1" applyBorder="1" applyAlignment="1">
      <alignment/>
    </xf>
    <xf numFmtId="43" fontId="1" fillId="0" borderId="18" xfId="42" applyFont="1" applyBorder="1" applyAlignment="1">
      <alignment/>
    </xf>
    <xf numFmtId="0" fontId="6" fillId="0" borderId="25" xfId="0" applyFont="1" applyBorder="1" applyAlignment="1">
      <alignment/>
    </xf>
    <xf numFmtId="43" fontId="6" fillId="0" borderId="17" xfId="42" applyFont="1" applyBorder="1" applyAlignment="1">
      <alignment horizontal="center"/>
    </xf>
    <xf numFmtId="164" fontId="11" fillId="0" borderId="0" xfId="0" applyNumberFormat="1" applyFont="1" applyAlignment="1">
      <alignment/>
    </xf>
    <xf numFmtId="44" fontId="1" fillId="0" borderId="16" xfId="46" applyNumberFormat="1" applyFont="1" applyBorder="1" applyAlignment="1">
      <alignment/>
    </xf>
    <xf numFmtId="43" fontId="0" fillId="0" borderId="18" xfId="0" applyNumberFormat="1" applyBorder="1" applyAlignment="1">
      <alignment/>
    </xf>
    <xf numFmtId="44" fontId="6" fillId="0" borderId="17" xfId="46" applyFont="1" applyBorder="1" applyAlignment="1">
      <alignment/>
    </xf>
    <xf numFmtId="0" fontId="6" fillId="0" borderId="24" xfId="0" applyFont="1" applyBorder="1" applyAlignment="1">
      <alignment horizontal="center"/>
    </xf>
    <xf numFmtId="0" fontId="6" fillId="0" borderId="26" xfId="0" applyFont="1"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6" fillId="0" borderId="22" xfId="0" applyFont="1" applyBorder="1" applyAlignment="1">
      <alignment/>
    </xf>
    <xf numFmtId="0" fontId="6" fillId="0" borderId="10" xfId="0" applyFont="1" applyBorder="1" applyAlignment="1">
      <alignment/>
    </xf>
    <xf numFmtId="0" fontId="6" fillId="0" borderId="16" xfId="0" applyFont="1" applyBorder="1" applyAlignment="1">
      <alignment/>
    </xf>
    <xf numFmtId="0" fontId="6" fillId="0" borderId="23" xfId="0" applyFont="1" applyBorder="1" applyAlignment="1">
      <alignment/>
    </xf>
    <xf numFmtId="8" fontId="0" fillId="0" borderId="0" xfId="0" applyNumberFormat="1" applyAlignment="1">
      <alignment horizontal="center"/>
    </xf>
    <xf numFmtId="44" fontId="1" fillId="33" borderId="16" xfId="46" applyFont="1" applyFill="1" applyBorder="1" applyAlignment="1">
      <alignment/>
    </xf>
    <xf numFmtId="44" fontId="1" fillId="33" borderId="16" xfId="46" applyNumberFormat="1" applyFont="1" applyFill="1" applyBorder="1" applyAlignment="1">
      <alignment/>
    </xf>
    <xf numFmtId="0" fontId="0" fillId="0" borderId="27" xfId="0" applyBorder="1" applyAlignment="1">
      <alignment/>
    </xf>
    <xf numFmtId="44" fontId="1" fillId="0" borderId="28" xfId="46" applyFont="1" applyBorder="1" applyAlignment="1">
      <alignment/>
    </xf>
    <xf numFmtId="0" fontId="0" fillId="0" borderId="29" xfId="0" applyBorder="1" applyAlignment="1">
      <alignment/>
    </xf>
    <xf numFmtId="44" fontId="0" fillId="0" borderId="30" xfId="0" applyNumberFormat="1" applyBorder="1" applyAlignment="1">
      <alignment/>
    </xf>
    <xf numFmtId="0" fontId="0" fillId="0" borderId="31" xfId="0" applyFill="1" applyBorder="1" applyAlignment="1">
      <alignment/>
    </xf>
    <xf numFmtId="0" fontId="12" fillId="35" borderId="32" xfId="0" applyFont="1" applyFill="1" applyBorder="1" applyAlignment="1">
      <alignment horizontal="center" vertical="center" wrapText="1"/>
    </xf>
    <xf numFmtId="0" fontId="13" fillId="35" borderId="32" xfId="0" applyFont="1" applyFill="1" applyBorder="1" applyAlignment="1">
      <alignment wrapText="1"/>
    </xf>
    <xf numFmtId="0" fontId="45" fillId="35" borderId="32" xfId="55" applyFill="1" applyBorder="1" applyAlignment="1" applyProtection="1">
      <alignment wrapText="1"/>
      <protection/>
    </xf>
    <xf numFmtId="0" fontId="13" fillId="35" borderId="32" xfId="0" applyFont="1" applyFill="1" applyBorder="1" applyAlignment="1">
      <alignment horizontal="center" wrapText="1"/>
    </xf>
    <xf numFmtId="6" fontId="13" fillId="35" borderId="32" xfId="0" applyNumberFormat="1" applyFont="1" applyFill="1" applyBorder="1" applyAlignment="1">
      <alignment horizontal="right" wrapText="1"/>
    </xf>
    <xf numFmtId="0" fontId="13" fillId="35" borderId="33" xfId="0" applyFont="1" applyFill="1" applyBorder="1" applyAlignment="1">
      <alignment horizontal="center" wrapText="1"/>
    </xf>
    <xf numFmtId="0" fontId="13" fillId="35" borderId="34" xfId="0" applyFont="1" applyFill="1" applyBorder="1" applyAlignment="1">
      <alignment horizontal="center" wrapText="1"/>
    </xf>
    <xf numFmtId="0" fontId="45" fillId="35" borderId="32" xfId="55" applyFill="1" applyBorder="1" applyAlignment="1" applyProtection="1">
      <alignment horizontal="left" wrapText="1"/>
      <protection/>
    </xf>
    <xf numFmtId="0" fontId="0" fillId="36" borderId="0" xfId="0" applyFill="1" applyAlignment="1">
      <alignment/>
    </xf>
    <xf numFmtId="0" fontId="45" fillId="36" borderId="32" xfId="55" applyFill="1" applyBorder="1" applyAlignment="1" applyProtection="1">
      <alignment wrapText="1"/>
      <protection/>
    </xf>
    <xf numFmtId="0" fontId="13" fillId="36" borderId="32" xfId="0" applyFont="1" applyFill="1" applyBorder="1" applyAlignment="1">
      <alignment wrapText="1"/>
    </xf>
    <xf numFmtId="0" fontId="13" fillId="36" borderId="32" xfId="0" applyFont="1" applyFill="1" applyBorder="1" applyAlignment="1">
      <alignment horizontal="center" wrapText="1"/>
    </xf>
    <xf numFmtId="6" fontId="13" fillId="36" borderId="32" xfId="0" applyNumberFormat="1" applyFont="1" applyFill="1" applyBorder="1" applyAlignment="1">
      <alignment horizontal="right" wrapText="1"/>
    </xf>
    <xf numFmtId="0" fontId="0" fillId="0" borderId="35" xfId="0" applyBorder="1" applyAlignment="1">
      <alignment/>
    </xf>
    <xf numFmtId="44" fontId="1" fillId="0" borderId="36" xfId="46" applyFont="1" applyBorder="1" applyAlignment="1">
      <alignment/>
    </xf>
    <xf numFmtId="0" fontId="6" fillId="0" borderId="35" xfId="0" applyFont="1" applyBorder="1" applyAlignment="1">
      <alignment/>
    </xf>
    <xf numFmtId="0" fontId="6" fillId="0" borderId="15" xfId="0" applyFont="1" applyBorder="1" applyAlignment="1">
      <alignment horizontal="center"/>
    </xf>
    <xf numFmtId="0" fontId="0" fillId="0" borderId="0" xfId="0" applyBorder="1" applyAlignment="1">
      <alignment/>
    </xf>
    <xf numFmtId="44" fontId="0" fillId="37" borderId="37" xfId="0" applyNumberFormat="1" applyFill="1" applyBorder="1" applyAlignment="1">
      <alignment horizontal="center"/>
    </xf>
    <xf numFmtId="0" fontId="0" fillId="0" borderId="0" xfId="0" applyFill="1" applyBorder="1" applyAlignment="1">
      <alignment horizontal="center"/>
    </xf>
    <xf numFmtId="44" fontId="0" fillId="37" borderId="38" xfId="0" applyNumberFormat="1" applyFill="1" applyBorder="1" applyAlignment="1">
      <alignment horizontal="center"/>
    </xf>
    <xf numFmtId="44" fontId="0" fillId="0" borderId="39" xfId="0" applyNumberFormat="1" applyBorder="1" applyAlignment="1">
      <alignment horizontal="center"/>
    </xf>
    <xf numFmtId="44" fontId="0" fillId="37" borderId="40" xfId="0" applyNumberFormat="1" applyFill="1" applyBorder="1" applyAlignment="1">
      <alignment horizontal="center"/>
    </xf>
    <xf numFmtId="0" fontId="6" fillId="0" borderId="0" xfId="0" applyFont="1" applyBorder="1" applyAlignment="1">
      <alignment/>
    </xf>
    <xf numFmtId="0" fontId="0" fillId="0" borderId="0" xfId="0" applyBorder="1" applyAlignment="1">
      <alignment/>
    </xf>
    <xf numFmtId="44" fontId="0" fillId="0" borderId="0" xfId="0" applyNumberFormat="1" applyBorder="1" applyAlignment="1">
      <alignment horizontal="center"/>
    </xf>
    <xf numFmtId="44" fontId="0" fillId="0" borderId="0" xfId="0" applyNumberFormat="1" applyFill="1" applyBorder="1" applyAlignment="1">
      <alignment horizontal="center"/>
    </xf>
    <xf numFmtId="44" fontId="0" fillId="37" borderId="37" xfId="0" applyNumberFormat="1" applyFill="1" applyBorder="1" applyAlignment="1">
      <alignment/>
    </xf>
    <xf numFmtId="0" fontId="14" fillId="0" borderId="10" xfId="0" applyFont="1" applyBorder="1" applyAlignment="1">
      <alignment/>
    </xf>
    <xf numFmtId="164" fontId="14" fillId="0" borderId="10" xfId="0" applyNumberFormat="1" applyFont="1" applyBorder="1" applyAlignment="1">
      <alignment/>
    </xf>
    <xf numFmtId="0" fontId="14" fillId="0" borderId="10" xfId="0" applyFont="1" applyBorder="1" applyAlignment="1">
      <alignment horizontal="center"/>
    </xf>
    <xf numFmtId="164" fontId="14" fillId="0" borderId="10" xfId="0" applyNumberFormat="1" applyFont="1" applyBorder="1" applyAlignment="1">
      <alignment horizontal="right"/>
    </xf>
    <xf numFmtId="0" fontId="8" fillId="0" borderId="22" xfId="0" applyFont="1" applyBorder="1" applyAlignment="1">
      <alignment/>
    </xf>
    <xf numFmtId="44" fontId="8" fillId="0" borderId="16" xfId="46" applyFont="1" applyBorder="1" applyAlignment="1">
      <alignment/>
    </xf>
    <xf numFmtId="0" fontId="8" fillId="0" borderId="23" xfId="0" applyFont="1" applyBorder="1" applyAlignment="1">
      <alignment/>
    </xf>
    <xf numFmtId="44" fontId="8" fillId="0" borderId="18" xfId="46" applyFont="1" applyBorder="1" applyAlignment="1">
      <alignment/>
    </xf>
    <xf numFmtId="0" fontId="6" fillId="0" borderId="0" xfId="0" applyFont="1" applyAlignment="1">
      <alignment/>
    </xf>
    <xf numFmtId="44" fontId="6" fillId="0" borderId="10" xfId="0" applyNumberFormat="1" applyFont="1" applyBorder="1" applyAlignment="1">
      <alignment/>
    </xf>
    <xf numFmtId="43" fontId="6" fillId="0" borderId="10" xfId="42" applyFont="1" applyBorder="1" applyAlignment="1">
      <alignment/>
    </xf>
    <xf numFmtId="44" fontId="1" fillId="34" borderId="10" xfId="46" applyFont="1" applyFill="1" applyBorder="1" applyAlignment="1">
      <alignment/>
    </xf>
    <xf numFmtId="0" fontId="6" fillId="0" borderId="15" xfId="0" applyFont="1" applyBorder="1" applyAlignment="1">
      <alignment/>
    </xf>
    <xf numFmtId="0" fontId="6" fillId="0" borderId="17" xfId="0" applyFont="1" applyBorder="1" applyAlignment="1">
      <alignment/>
    </xf>
    <xf numFmtId="43" fontId="6" fillId="0" borderId="16" xfId="42" applyFont="1" applyBorder="1" applyAlignment="1">
      <alignment/>
    </xf>
    <xf numFmtId="44" fontId="1" fillId="34" borderId="16" xfId="46" applyFont="1" applyFill="1" applyBorder="1" applyAlignment="1">
      <alignment/>
    </xf>
    <xf numFmtId="0" fontId="0" fillId="0" borderId="15"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6" xfId="0" applyFont="1" applyBorder="1" applyAlignment="1">
      <alignment/>
    </xf>
    <xf numFmtId="0" fontId="6" fillId="34" borderId="22" xfId="0" applyFont="1" applyFill="1" applyBorder="1" applyAlignment="1">
      <alignment/>
    </xf>
    <xf numFmtId="43" fontId="1" fillId="34" borderId="16" xfId="42" applyFont="1" applyFill="1" applyBorder="1" applyAlignment="1">
      <alignment/>
    </xf>
    <xf numFmtId="43" fontId="6" fillId="0" borderId="14" xfId="42" applyFont="1" applyBorder="1" applyAlignment="1">
      <alignment/>
    </xf>
    <xf numFmtId="0" fontId="10" fillId="0" borderId="10" xfId="0" applyFont="1" applyBorder="1" applyAlignment="1">
      <alignment horizontal="center"/>
    </xf>
    <xf numFmtId="44" fontId="6" fillId="0" borderId="41" xfId="46" applyFont="1" applyBorder="1" applyAlignment="1">
      <alignment/>
    </xf>
    <xf numFmtId="44" fontId="6" fillId="0" borderId="35" xfId="46" applyFont="1" applyBorder="1" applyAlignment="1">
      <alignment/>
    </xf>
    <xf numFmtId="0" fontId="0" fillId="0" borderId="0" xfId="0" applyFill="1" applyBorder="1" applyAlignment="1">
      <alignment/>
    </xf>
    <xf numFmtId="38" fontId="0" fillId="0" borderId="0" xfId="0" applyNumberFormat="1" applyAlignment="1">
      <alignment/>
    </xf>
    <xf numFmtId="38" fontId="0" fillId="0" borderId="42" xfId="0" applyNumberFormat="1" applyBorder="1" applyAlignment="1">
      <alignment/>
    </xf>
    <xf numFmtId="38" fontId="0" fillId="0" borderId="43" xfId="0" applyNumberFormat="1" applyBorder="1" applyAlignment="1">
      <alignment/>
    </xf>
    <xf numFmtId="38" fontId="0" fillId="0" borderId="44" xfId="0" applyNumberFormat="1" applyBorder="1" applyAlignment="1">
      <alignment/>
    </xf>
    <xf numFmtId="38" fontId="0" fillId="0" borderId="45" xfId="0" applyNumberFormat="1" applyBorder="1" applyAlignment="1">
      <alignment/>
    </xf>
    <xf numFmtId="0" fontId="6" fillId="0" borderId="0" xfId="0" applyFont="1" applyFill="1" applyBorder="1" applyAlignment="1">
      <alignment/>
    </xf>
    <xf numFmtId="0" fontId="6" fillId="0" borderId="0" xfId="0" applyFont="1" applyBorder="1" applyAlignment="1">
      <alignment horizontal="right"/>
    </xf>
    <xf numFmtId="0" fontId="6" fillId="0" borderId="0" xfId="0" applyFont="1" applyBorder="1" applyAlignment="1">
      <alignment/>
    </xf>
    <xf numFmtId="43" fontId="6" fillId="0" borderId="0" xfId="42" applyFont="1" applyBorder="1" applyAlignment="1">
      <alignment/>
    </xf>
    <xf numFmtId="0" fontId="6" fillId="0" borderId="0" xfId="0" applyFont="1" applyBorder="1" applyAlignment="1">
      <alignment horizontal="center"/>
    </xf>
    <xf numFmtId="44" fontId="0" fillId="0" borderId="0" xfId="0" applyNumberFormat="1" applyBorder="1" applyAlignment="1">
      <alignment/>
    </xf>
    <xf numFmtId="38" fontId="0" fillId="0" borderId="0" xfId="0" applyNumberFormat="1" applyBorder="1" applyAlignment="1">
      <alignment/>
    </xf>
    <xf numFmtId="0" fontId="6" fillId="0" borderId="0" xfId="0" applyFont="1" applyAlignment="1">
      <alignment horizontal="center" wrapText="1"/>
    </xf>
    <xf numFmtId="38" fontId="0" fillId="0" borderId="46" xfId="0" applyNumberFormat="1" applyBorder="1" applyAlignment="1">
      <alignment/>
    </xf>
    <xf numFmtId="3" fontId="0" fillId="0" borderId="44" xfId="0" applyNumberFormat="1" applyBorder="1" applyAlignment="1">
      <alignment/>
    </xf>
    <xf numFmtId="37" fontId="0" fillId="0" borderId="43" xfId="0" applyNumberFormat="1" applyBorder="1" applyAlignment="1">
      <alignment/>
    </xf>
    <xf numFmtId="38" fontId="0" fillId="0" borderId="47" xfId="0" applyNumberFormat="1" applyBorder="1" applyAlignment="1">
      <alignment/>
    </xf>
    <xf numFmtId="38" fontId="0" fillId="0" borderId="48"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6" fillId="0" borderId="16" xfId="0" applyFont="1" applyBorder="1" applyAlignment="1">
      <alignment horizontal="center"/>
    </xf>
    <xf numFmtId="3" fontId="0" fillId="0" borderId="0" xfId="0" applyNumberFormat="1" applyBorder="1" applyAlignment="1">
      <alignment/>
    </xf>
    <xf numFmtId="37" fontId="0" fillId="0" borderId="0" xfId="0" applyNumberFormat="1" applyBorder="1" applyAlignment="1">
      <alignment/>
    </xf>
    <xf numFmtId="0" fontId="0" fillId="0" borderId="53" xfId="0" applyBorder="1" applyAlignment="1">
      <alignment/>
    </xf>
    <xf numFmtId="0" fontId="0" fillId="0" borderId="30" xfId="0" applyBorder="1" applyAlignment="1">
      <alignment/>
    </xf>
    <xf numFmtId="38" fontId="0" fillId="0" borderId="30" xfId="0" applyNumberFormat="1" applyBorder="1" applyAlignment="1">
      <alignment/>
    </xf>
    <xf numFmtId="3" fontId="0" fillId="0" borderId="52" xfId="0" applyNumberFormat="1" applyBorder="1" applyAlignment="1">
      <alignment/>
    </xf>
    <xf numFmtId="0" fontId="6" fillId="0" borderId="22" xfId="0" applyFont="1" applyBorder="1" applyAlignment="1" applyProtection="1">
      <alignment/>
      <protection locked="0"/>
    </xf>
    <xf numFmtId="0" fontId="6" fillId="0" borderId="54" xfId="0" applyFont="1" applyBorder="1" applyAlignment="1" applyProtection="1">
      <alignment/>
      <protection locked="0"/>
    </xf>
    <xf numFmtId="0" fontId="6" fillId="0" borderId="55" xfId="0" applyFont="1" applyFill="1" applyBorder="1" applyAlignment="1" applyProtection="1">
      <alignment horizontal="right"/>
      <protection locked="0"/>
    </xf>
    <xf numFmtId="44" fontId="6" fillId="0" borderId="10" xfId="0" applyNumberFormat="1" applyFont="1" applyBorder="1" applyAlignment="1" applyProtection="1">
      <alignment/>
      <protection locked="0"/>
    </xf>
    <xf numFmtId="43" fontId="6" fillId="0" borderId="10" xfId="42" applyFont="1" applyBorder="1" applyAlignment="1" applyProtection="1">
      <alignment/>
      <protection locked="0"/>
    </xf>
    <xf numFmtId="0" fontId="6" fillId="0" borderId="10" xfId="0" applyFont="1" applyBorder="1" applyAlignment="1" applyProtection="1">
      <alignment horizontal="center"/>
      <protection locked="0"/>
    </xf>
    <xf numFmtId="44" fontId="1" fillId="0" borderId="10" xfId="46" applyFont="1" applyBorder="1" applyAlignment="1" applyProtection="1">
      <alignment/>
      <protection locked="0"/>
    </xf>
    <xf numFmtId="44" fontId="1" fillId="0" borderId="56" xfId="46" applyFont="1" applyBorder="1" applyAlignment="1" applyProtection="1">
      <alignment/>
      <protection locked="0"/>
    </xf>
    <xf numFmtId="0" fontId="6" fillId="0" borderId="10" xfId="0" applyFont="1" applyBorder="1" applyAlignment="1" applyProtection="1">
      <alignment/>
      <protection locked="0"/>
    </xf>
    <xf numFmtId="164" fontId="0" fillId="0" borderId="10" xfId="0" applyNumberFormat="1" applyBorder="1" applyAlignment="1" applyProtection="1">
      <alignment/>
      <protection locked="0"/>
    </xf>
    <xf numFmtId="0" fontId="0" fillId="0" borderId="0" xfId="0" applyAlignment="1">
      <alignment wrapText="1"/>
    </xf>
    <xf numFmtId="0" fontId="0" fillId="0" borderId="0" xfId="0" applyAlignment="1" applyProtection="1">
      <alignment wrapText="1"/>
      <protection locked="0"/>
    </xf>
    <xf numFmtId="44" fontId="0" fillId="0" borderId="10" xfId="0" applyNumberFormat="1" applyBorder="1" applyAlignment="1" applyProtection="1">
      <alignment/>
      <protection locked="0"/>
    </xf>
    <xf numFmtId="44" fontId="1" fillId="0" borderId="10" xfId="46" applyNumberFormat="1" applyFont="1" applyBorder="1" applyAlignment="1" applyProtection="1">
      <alignment/>
      <protection locked="0"/>
    </xf>
    <xf numFmtId="0" fontId="9" fillId="0" borderId="10" xfId="0" applyFont="1" applyBorder="1" applyAlignment="1" applyProtection="1">
      <alignment/>
      <protection locked="0"/>
    </xf>
    <xf numFmtId="0" fontId="10" fillId="0" borderId="10" xfId="0" applyFont="1" applyBorder="1" applyAlignment="1" applyProtection="1">
      <alignment/>
      <protection locked="0"/>
    </xf>
    <xf numFmtId="0" fontId="0" fillId="0" borderId="10" xfId="0" applyBorder="1" applyAlignment="1" applyProtection="1">
      <alignment/>
      <protection locked="0"/>
    </xf>
    <xf numFmtId="0" fontId="15" fillId="0" borderId="0" xfId="0" applyFont="1" applyBorder="1" applyAlignment="1">
      <alignment horizontal="center"/>
    </xf>
    <xf numFmtId="43" fontId="15" fillId="0" borderId="0" xfId="42" applyFont="1" applyBorder="1" applyAlignment="1">
      <alignment horizontal="center"/>
    </xf>
    <xf numFmtId="0" fontId="6" fillId="0" borderId="0" xfId="0" applyFont="1" applyBorder="1" applyAlignment="1">
      <alignment horizontal="left"/>
    </xf>
    <xf numFmtId="43" fontId="1" fillId="0" borderId="0" xfId="42" applyFont="1" applyBorder="1" applyAlignment="1">
      <alignment/>
    </xf>
    <xf numFmtId="43" fontId="0" fillId="0" borderId="0" xfId="0" applyNumberFormat="1" applyBorder="1" applyAlignment="1">
      <alignment/>
    </xf>
    <xf numFmtId="0" fontId="6" fillId="0" borderId="0" xfId="0" applyFont="1" applyBorder="1" applyAlignment="1">
      <alignment wrapText="1"/>
    </xf>
    <xf numFmtId="0" fontId="0" fillId="0" borderId="0" xfId="0" applyNumberFormat="1" applyBorder="1" applyAlignment="1">
      <alignment/>
    </xf>
    <xf numFmtId="0" fontId="6" fillId="34" borderId="22" xfId="0" applyFont="1" applyFill="1" applyBorder="1" applyAlignment="1" applyProtection="1">
      <alignment/>
      <protection locked="0"/>
    </xf>
    <xf numFmtId="43" fontId="6" fillId="0" borderId="16" xfId="42" applyFont="1" applyBorder="1" applyAlignment="1" applyProtection="1">
      <alignment horizontal="center"/>
      <protection locked="0"/>
    </xf>
    <xf numFmtId="43" fontId="6" fillId="0" borderId="10" xfId="42" applyFont="1" applyBorder="1" applyAlignment="1" applyProtection="1">
      <alignment/>
      <protection/>
    </xf>
    <xf numFmtId="43" fontId="6" fillId="0" borderId="16" xfId="42" applyFont="1" applyBorder="1" applyAlignment="1" applyProtection="1">
      <alignment/>
      <protection/>
    </xf>
    <xf numFmtId="0" fontId="6" fillId="0" borderId="10" xfId="0" applyFont="1" applyBorder="1" applyAlignment="1" applyProtection="1">
      <alignment horizontal="right"/>
      <protection locked="0"/>
    </xf>
    <xf numFmtId="0" fontId="6" fillId="0" borderId="16" xfId="0" applyFont="1" applyBorder="1" applyAlignment="1" applyProtection="1">
      <alignment/>
      <protection locked="0"/>
    </xf>
    <xf numFmtId="0" fontId="15" fillId="0" borderId="0" xfId="0" applyFont="1" applyFill="1" applyBorder="1" applyAlignment="1">
      <alignment horizontal="center"/>
    </xf>
    <xf numFmtId="43" fontId="15" fillId="0" borderId="0" xfId="42" applyFont="1" applyFill="1" applyBorder="1" applyAlignment="1">
      <alignment horizontal="center"/>
    </xf>
    <xf numFmtId="0" fontId="6" fillId="0" borderId="0" xfId="0" applyFont="1" applyFill="1" applyBorder="1" applyAlignment="1">
      <alignment horizontal="left"/>
    </xf>
    <xf numFmtId="43" fontId="1" fillId="0" borderId="0" xfId="42" applyFont="1" applyFill="1" applyBorder="1" applyAlignment="1">
      <alignment/>
    </xf>
    <xf numFmtId="44" fontId="0" fillId="0" borderId="0" xfId="0" applyNumberFormat="1" applyFill="1" applyBorder="1" applyAlignment="1">
      <alignment/>
    </xf>
    <xf numFmtId="43" fontId="0" fillId="0" borderId="0" xfId="0" applyNumberFormat="1" applyFill="1" applyBorder="1" applyAlignment="1">
      <alignment/>
    </xf>
    <xf numFmtId="0" fontId="6" fillId="0" borderId="0" xfId="0" applyFont="1" applyFill="1" applyBorder="1" applyAlignment="1">
      <alignment wrapText="1"/>
    </xf>
    <xf numFmtId="0" fontId="0" fillId="0" borderId="0" xfId="0" applyNumberFormat="1" applyFill="1" applyBorder="1" applyAlignment="1">
      <alignment/>
    </xf>
    <xf numFmtId="0" fontId="16" fillId="0" borderId="0" xfId="0" applyFont="1" applyFill="1" applyBorder="1" applyAlignment="1">
      <alignment/>
    </xf>
    <xf numFmtId="0" fontId="16" fillId="0" borderId="0" xfId="0" applyFont="1" applyBorder="1" applyAlignment="1">
      <alignment/>
    </xf>
    <xf numFmtId="0" fontId="6" fillId="0" borderId="0" xfId="0" applyFont="1" applyFill="1" applyBorder="1" applyAlignment="1" applyProtection="1">
      <alignment horizontal="right"/>
      <protection locked="0"/>
    </xf>
    <xf numFmtId="0" fontId="6" fillId="0" borderId="57"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6" fillId="37" borderId="59" xfId="0" applyFont="1" applyFill="1" applyBorder="1" applyAlignment="1" applyProtection="1">
      <alignment horizontal="center"/>
      <protection locked="0"/>
    </xf>
    <xf numFmtId="44" fontId="0" fillId="0" borderId="39" xfId="0" applyNumberFormat="1" applyBorder="1" applyAlignment="1" applyProtection="1">
      <alignment horizontal="center"/>
      <protection locked="0"/>
    </xf>
    <xf numFmtId="0" fontId="10"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Border="1" applyAlignment="1" applyProtection="1">
      <alignment/>
      <protection locked="0"/>
    </xf>
    <xf numFmtId="0" fontId="1" fillId="0" borderId="0" xfId="0" applyFont="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6" fillId="0" borderId="0" xfId="0" applyFont="1" applyAlignment="1" applyProtection="1">
      <alignment/>
      <protection locked="0"/>
    </xf>
    <xf numFmtId="38" fontId="0" fillId="0" borderId="0" xfId="0" applyNumberFormat="1" applyAlignment="1" applyProtection="1">
      <alignment/>
      <protection locked="0"/>
    </xf>
    <xf numFmtId="38" fontId="0" fillId="0" borderId="45" xfId="0" applyNumberFormat="1" applyBorder="1" applyAlignment="1" applyProtection="1">
      <alignment/>
      <protection/>
    </xf>
    <xf numFmtId="38" fontId="0" fillId="0" borderId="0" xfId="0" applyNumberFormat="1" applyAlignment="1" applyProtection="1">
      <alignment/>
      <protection/>
    </xf>
    <xf numFmtId="38" fontId="0" fillId="0" borderId="43" xfId="0" applyNumberFormat="1" applyBorder="1" applyAlignment="1" applyProtection="1">
      <alignment/>
      <protection/>
    </xf>
    <xf numFmtId="38" fontId="0" fillId="0" borderId="44" xfId="0" applyNumberFormat="1" applyBorder="1" applyAlignment="1" applyProtection="1">
      <alignment/>
      <protection locked="0"/>
    </xf>
    <xf numFmtId="0" fontId="6" fillId="0" borderId="0" xfId="0" applyFont="1" applyBorder="1" applyAlignment="1">
      <alignment horizontal="center" wrapText="1"/>
    </xf>
    <xf numFmtId="0" fontId="0" fillId="0" borderId="0" xfId="0" applyAlignment="1">
      <alignment wrapText="1"/>
    </xf>
    <xf numFmtId="0" fontId="6" fillId="0" borderId="15" xfId="0" applyFont="1" applyBorder="1" applyAlignment="1" applyProtection="1">
      <alignment horizontal="center"/>
      <protection/>
    </xf>
    <xf numFmtId="0" fontId="0" fillId="0" borderId="51" xfId="0" applyBorder="1" applyAlignment="1" applyProtection="1">
      <alignment/>
      <protection locked="0"/>
    </xf>
    <xf numFmtId="0" fontId="0" fillId="0" borderId="60"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6" fillId="0" borderId="64" xfId="0" applyFont="1" applyBorder="1" applyAlignment="1" applyProtection="1">
      <alignment horizontal="center"/>
      <protection locked="0"/>
    </xf>
    <xf numFmtId="44" fontId="0" fillId="0" borderId="64" xfId="0" applyNumberFormat="1" applyBorder="1" applyAlignment="1" applyProtection="1">
      <alignment/>
      <protection locked="0"/>
    </xf>
    <xf numFmtId="38" fontId="0" fillId="0" borderId="0" xfId="0" applyNumberFormat="1"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8" fontId="0" fillId="0" borderId="47" xfId="0" applyNumberFormat="1" applyBorder="1" applyAlignment="1" applyProtection="1">
      <alignment/>
      <protection/>
    </xf>
    <xf numFmtId="38" fontId="0" fillId="0" borderId="48" xfId="0" applyNumberFormat="1" applyBorder="1" applyAlignment="1" applyProtection="1">
      <alignment/>
      <protection/>
    </xf>
    <xf numFmtId="0" fontId="0" fillId="0" borderId="53" xfId="0" applyBorder="1" applyAlignment="1" applyProtection="1">
      <alignment/>
      <protection/>
    </xf>
    <xf numFmtId="0" fontId="0" fillId="0" borderId="30" xfId="0" applyBorder="1" applyAlignment="1" applyProtection="1">
      <alignment/>
      <protection/>
    </xf>
    <xf numFmtId="0" fontId="0" fillId="0" borderId="49" xfId="0" applyBorder="1" applyAlignment="1" applyProtection="1">
      <alignment/>
      <protection locked="0"/>
    </xf>
    <xf numFmtId="0" fontId="0" fillId="0" borderId="0" xfId="0" applyAlignment="1" applyProtection="1">
      <alignment wrapText="1"/>
      <protection locked="0"/>
    </xf>
    <xf numFmtId="0" fontId="0" fillId="0" borderId="0" xfId="0" applyAlignment="1">
      <alignment horizontal="center"/>
    </xf>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protection/>
    </xf>
    <xf numFmtId="0" fontId="0" fillId="0" borderId="0" xfId="0" applyAlignment="1">
      <alignment wrapText="1"/>
    </xf>
    <xf numFmtId="0" fontId="6" fillId="0" borderId="65" xfId="0" applyFont="1" applyBorder="1" applyAlignment="1" applyProtection="1">
      <alignment/>
      <protection locked="0"/>
    </xf>
    <xf numFmtId="0" fontId="0" fillId="0" borderId="66" xfId="0" applyBorder="1" applyAlignment="1" applyProtection="1">
      <alignment/>
      <protection locked="0"/>
    </xf>
    <xf numFmtId="0" fontId="6" fillId="0" borderId="55"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67"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60" xfId="0" applyFont="1" applyBorder="1" applyAlignment="1" applyProtection="1">
      <alignment/>
      <protection locked="0"/>
    </xf>
    <xf numFmtId="0" fontId="0" fillId="0" borderId="68" xfId="0" applyBorder="1" applyAlignment="1" applyProtection="1">
      <alignment/>
      <protection locked="0"/>
    </xf>
    <xf numFmtId="0" fontId="6" fillId="0" borderId="62"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0" fillId="0" borderId="0" xfId="0" applyBorder="1" applyAlignment="1">
      <alignment horizontal="center"/>
    </xf>
    <xf numFmtId="0" fontId="6" fillId="0" borderId="63" xfId="0" applyFont="1" applyBorder="1" applyAlignment="1">
      <alignment horizontal="center"/>
    </xf>
    <xf numFmtId="0" fontId="0" fillId="0" borderId="49" xfId="0" applyBorder="1" applyAlignment="1">
      <alignment horizontal="center"/>
    </xf>
    <xf numFmtId="0" fontId="6" fillId="0" borderId="25"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17" fillId="35" borderId="69" xfId="0" applyFont="1" applyFill="1" applyBorder="1" applyAlignment="1">
      <alignment horizontal="center" vertical="center" wrapText="1"/>
    </xf>
    <xf numFmtId="0" fontId="17" fillId="35" borderId="70" xfId="0" applyFont="1" applyFill="1" applyBorder="1" applyAlignment="1">
      <alignment horizontal="center" vertical="center" wrapText="1"/>
    </xf>
    <xf numFmtId="0" fontId="17" fillId="35" borderId="71" xfId="0" applyFont="1" applyFill="1" applyBorder="1" applyAlignment="1">
      <alignment horizontal="center" vertical="center" wrapText="1"/>
    </xf>
    <xf numFmtId="0" fontId="45" fillId="35" borderId="33" xfId="55" applyFill="1" applyBorder="1" applyAlignment="1" applyProtection="1">
      <alignment wrapText="1"/>
      <protection/>
    </xf>
    <xf numFmtId="0" fontId="45" fillId="35" borderId="34" xfId="55" applyFill="1" applyBorder="1" applyAlignment="1" applyProtection="1">
      <alignment wrapText="1"/>
      <protection/>
    </xf>
    <xf numFmtId="0" fontId="13" fillId="35" borderId="33" xfId="0" applyFont="1" applyFill="1" applyBorder="1" applyAlignment="1">
      <alignment wrapText="1"/>
    </xf>
    <xf numFmtId="0" fontId="13" fillId="35" borderId="34" xfId="0" applyFont="1" applyFill="1" applyBorder="1" applyAlignment="1">
      <alignment wrapText="1"/>
    </xf>
    <xf numFmtId="0" fontId="13" fillId="35" borderId="33" xfId="0" applyFont="1" applyFill="1" applyBorder="1" applyAlignment="1">
      <alignment horizontal="center" wrapText="1"/>
    </xf>
    <xf numFmtId="0" fontId="13" fillId="35" borderId="34" xfId="0" applyFont="1" applyFill="1" applyBorder="1" applyAlignment="1">
      <alignment horizontal="center" wrapText="1"/>
    </xf>
    <xf numFmtId="6" fontId="13" fillId="35" borderId="33" xfId="0" applyNumberFormat="1" applyFont="1" applyFill="1" applyBorder="1" applyAlignment="1">
      <alignment horizontal="right" wrapText="1"/>
    </xf>
    <xf numFmtId="6" fontId="13" fillId="35" borderId="34" xfId="0" applyNumberFormat="1" applyFont="1" applyFill="1" applyBorder="1" applyAlignment="1">
      <alignment horizontal="right" wrapText="1"/>
    </xf>
    <xf numFmtId="0" fontId="6" fillId="0" borderId="64" xfId="0" applyFont="1" applyBorder="1" applyAlignment="1">
      <alignment horizontal="left"/>
    </xf>
    <xf numFmtId="0" fontId="6" fillId="0" borderId="44" xfId="0" applyFont="1" applyBorder="1" applyAlignment="1">
      <alignment horizontal="left"/>
    </xf>
    <xf numFmtId="0" fontId="6" fillId="0" borderId="46" xfId="0" applyFont="1" applyBorder="1" applyAlignment="1">
      <alignment horizontal="left"/>
    </xf>
    <xf numFmtId="44" fontId="1" fillId="0" borderId="19" xfId="46" applyFont="1" applyBorder="1" applyAlignment="1" applyProtection="1">
      <alignment/>
      <protection/>
    </xf>
    <xf numFmtId="44" fontId="0" fillId="37" borderId="37" xfId="0" applyNumberFormat="1" applyFill="1" applyBorder="1" applyAlignment="1" applyProtection="1">
      <alignment/>
      <protection/>
    </xf>
    <xf numFmtId="44" fontId="0" fillId="37" borderId="38" xfId="0" applyNumberFormat="1" applyFill="1" applyBorder="1" applyAlignment="1" applyProtection="1">
      <alignment horizontal="center"/>
      <protection/>
    </xf>
    <xf numFmtId="44" fontId="0" fillId="0" borderId="39" xfId="0" applyNumberFormat="1" applyBorder="1" applyAlignment="1" applyProtection="1">
      <alignment horizontal="center"/>
      <protection/>
    </xf>
    <xf numFmtId="44" fontId="0" fillId="37" borderId="40" xfId="0" applyNumberFormat="1" applyFill="1" applyBorder="1" applyAlignment="1" applyProtection="1">
      <alignment horizontal="center"/>
      <protection/>
    </xf>
    <xf numFmtId="0" fontId="6" fillId="0" borderId="25" xfId="0" applyFont="1" applyBorder="1" applyAlignment="1" applyProtection="1">
      <alignment/>
      <protection/>
    </xf>
    <xf numFmtId="0" fontId="6" fillId="0" borderId="15" xfId="0" applyFont="1" applyBorder="1" applyAlignment="1" applyProtection="1">
      <alignment/>
      <protection/>
    </xf>
    <xf numFmtId="44" fontId="0" fillId="0" borderId="10" xfId="0" applyNumberFormat="1" applyBorder="1" applyAlignment="1" applyProtection="1">
      <alignment/>
      <protection/>
    </xf>
    <xf numFmtId="44" fontId="6" fillId="0" borderId="10" xfId="0" applyNumberFormat="1" applyFont="1" applyBorder="1" applyAlignment="1" applyProtection="1">
      <alignment/>
      <protection/>
    </xf>
    <xf numFmtId="0" fontId="6" fillId="0" borderId="10" xfId="0" applyFont="1" applyBorder="1" applyAlignment="1" applyProtection="1">
      <alignment/>
      <protection/>
    </xf>
    <xf numFmtId="0" fontId="6" fillId="0" borderId="22" xfId="0" applyFont="1" applyBorder="1" applyAlignment="1" applyProtection="1">
      <alignment/>
      <protection/>
    </xf>
    <xf numFmtId="0" fontId="6" fillId="0" borderId="10" xfId="0" applyFont="1" applyBorder="1" applyAlignment="1" applyProtection="1">
      <alignment horizontal="center"/>
      <protection/>
    </xf>
    <xf numFmtId="43" fontId="6" fillId="0" borderId="0" xfId="42" applyFont="1" applyBorder="1" applyAlignment="1">
      <alignment horizontal="center"/>
    </xf>
    <xf numFmtId="0" fontId="51" fillId="0" borderId="51" xfId="0" applyFont="1" applyBorder="1" applyAlignment="1" applyProtection="1">
      <alignment/>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9525</xdr:colOff>
      <xdr:row>3</xdr:row>
      <xdr:rowOff>142875</xdr:rowOff>
    </xdr:to>
    <xdr:pic>
      <xdr:nvPicPr>
        <xdr:cNvPr id="1" name="Picture 1"/>
        <xdr:cNvPicPr preferRelativeResize="1">
          <a:picLocks noChangeAspect="1"/>
        </xdr:cNvPicPr>
      </xdr:nvPicPr>
      <xdr:blipFill>
        <a:blip r:embed="rId1"/>
        <a:stretch>
          <a:fillRect/>
        </a:stretch>
      </xdr:blipFill>
      <xdr:spPr>
        <a:xfrm>
          <a:off x="0" y="38100"/>
          <a:ext cx="49815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4.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5.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6.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fillers.com/bottled%20water/BWL600BF.htm" TargetMode="External" /><Relationship Id="rId2" Type="http://schemas.openxmlformats.org/officeDocument/2006/relationships/hyperlink" Target="http://fillers.com/bottled%20water/BWL600BF-MC.htm" TargetMode="External" /><Relationship Id="rId3" Type="http://schemas.openxmlformats.org/officeDocument/2006/relationships/hyperlink" Target="http://fillers.com/bottled%20water/BWL600BF-MC-SL.htm" TargetMode="External" /><Relationship Id="rId4" Type="http://schemas.openxmlformats.org/officeDocument/2006/relationships/hyperlink" Target="http://fillers.com/bottled%20water/BWL1200MF-MC-SL.htm" TargetMode="External" /><Relationship Id="rId5" Type="http://schemas.openxmlformats.org/officeDocument/2006/relationships/hyperlink" Target="http://fillers.com/bottled%20water/BWL1000BF.htm" TargetMode="External" /><Relationship Id="rId6" Type="http://schemas.openxmlformats.org/officeDocument/2006/relationships/hyperlink" Target="http://fillers.com/bottled%20water/BWL1000BF-MC.htm" TargetMode="External" /><Relationship Id="rId7" Type="http://schemas.openxmlformats.org/officeDocument/2006/relationships/hyperlink" Target="http://fillers.com/bottled%20water/BWL1000BF-MC-SL.htm" TargetMode="External" /><Relationship Id="rId8" Type="http://schemas.openxmlformats.org/officeDocument/2006/relationships/hyperlink" Target="http://fillers.com/bottled%20water/BWL1200SF-MC-SL.htm" TargetMode="External" /><Relationship Id="rId9" Type="http://schemas.openxmlformats.org/officeDocument/2006/relationships/hyperlink" Target="http://fillers.com/bottled%20water/BWL1200SF-MC-SL.htm" TargetMode="External" /><Relationship Id="rId10" Type="http://schemas.openxmlformats.org/officeDocument/2006/relationships/hyperlink" Target="http://fillers.com/bottled%20water/BWL1200AF-MC-SL.htm" TargetMode="External" /><Relationship Id="rId11" Type="http://schemas.openxmlformats.org/officeDocument/2006/relationships/hyperlink" Target="http://fillers.com/bottled%20water/BWL1200AF-VAR-MC-SL.htm" TargetMode="External" /><Relationship Id="rId12" Type="http://schemas.openxmlformats.org/officeDocument/2006/relationships/hyperlink" Target="http://fillers.com/bottled%20water/BWL1800MF-MC2-SL2.htm" TargetMode="External" /><Relationship Id="rId13" Type="http://schemas.openxmlformats.org/officeDocument/2006/relationships/hyperlink" Target="http://fillers.com/bottled%20water/BWL1800SF-MC2-SL2.htm" TargetMode="External" /><Relationship Id="rId14" Type="http://schemas.openxmlformats.org/officeDocument/2006/relationships/hyperlink" Target="http://fillers.com/bottled%20water/BWL1800SF-VAR-MC2-SL2.htm" TargetMode="External" /><Relationship Id="rId15" Type="http://schemas.openxmlformats.org/officeDocument/2006/relationships/hyperlink" Target="http://fillers.com/bottled%20water/BWL1800AF-MC2-SL2.htm" TargetMode="External" /><Relationship Id="rId16" Type="http://schemas.openxmlformats.org/officeDocument/2006/relationships/hyperlink" Target="http://fillers.com/bottled%20water/BWL1800AF-VAR-MC2-SL2.htm" TargetMode="External" /><Relationship Id="rId17" Type="http://schemas.openxmlformats.org/officeDocument/2006/relationships/hyperlink" Target="http://fillers.com/bottled%20water/BWL1800AF-VAR-MC2-AL.htm" TargetMode="External" /><Relationship Id="rId18" Type="http://schemas.openxmlformats.org/officeDocument/2006/relationships/hyperlink" Target="http://fillers.com/bottled%20water/BWL1800AF-MC2-AL.htm" TargetMode="External" /><Relationship Id="rId19" Type="http://schemas.openxmlformats.org/officeDocument/2006/relationships/hyperlink" Target="http://fillers.com/bottled%20water/BWL2000AF-SC-AL.htm" TargetMode="External" /><Relationship Id="rId20" Type="http://schemas.openxmlformats.org/officeDocument/2006/relationships/hyperlink" Target="http://fillers.com/bottled%20water/BWL2000AF-VAR-SC-AL.htm" TargetMode="External" /><Relationship Id="rId21" Type="http://schemas.openxmlformats.org/officeDocument/2006/relationships/hyperlink" Target="http://fillers.com/bottled%20water/BWL2000AF-AC-AL.htm" TargetMode="External" /><Relationship Id="rId22" Type="http://schemas.openxmlformats.org/officeDocument/2006/relationships/hyperlink" Target="http://fillers.com/bottled%20water/BWL2000AF-VAR-AC-AL.htm" TargetMode="External" /><Relationship Id="rId23" Type="http://schemas.openxmlformats.org/officeDocument/2006/relationships/hyperlink" Target="http://fillers.com/bottled%20water/BWL3000AF-AC-AL.htm" TargetMode="External" /><Relationship Id="rId24" Type="http://schemas.openxmlformats.org/officeDocument/2006/relationships/hyperlink" Target="http://fillers.com/bottled%20water/BWL3000AF-VAR-AC-AL.htm" TargetMode="External" /><Relationship Id="rId25" Type="http://schemas.openxmlformats.org/officeDocument/2006/relationships/hyperlink" Target="http://fillers.com/bottled%20water/BWL3600AF-AC-AL.htm" TargetMode="External" /><Relationship Id="rId26" Type="http://schemas.openxmlformats.org/officeDocument/2006/relationships/hyperlink" Target="http://fillers.com/bottled%20water/BWL3600AF-VAR-AC-AL.htm" TargetMode="External" /><Relationship Id="rId27" Type="http://schemas.openxmlformats.org/officeDocument/2006/relationships/hyperlink" Target="http://fillers.com/bottled%20water/BWL4300AF-AC-AL.htm" TargetMode="External" /><Relationship Id="rId28" Type="http://schemas.openxmlformats.org/officeDocument/2006/relationships/hyperlink" Target="http://fillers.com/bottled%20water/BWL4300AF-VAR-AC-AL.htm" TargetMode="External" /><Relationship Id="rId29" Type="http://schemas.openxmlformats.org/officeDocument/2006/relationships/hyperlink" Target="http://fillers.com/bottled%20water/BWL5200AF-AC-AL.htm" TargetMode="External" /><Relationship Id="rId30" Type="http://schemas.openxmlformats.org/officeDocument/2006/relationships/hyperlink" Target="http://fillers.com/bottled%20water/BWL5200AF-VAR-AC-AL.htm" TargetMode="External" /><Relationship Id="rId31" Type="http://schemas.openxmlformats.org/officeDocument/2006/relationships/hyperlink" Target="http://fillers.com/bottled%20water/BWL6000AF-AC-AL.htm" TargetMode="External" /><Relationship Id="rId32" Type="http://schemas.openxmlformats.org/officeDocument/2006/relationships/hyperlink" Target="http://fillers.com/bottled%20water/BWL6000AF-VAR-AC-AL.htm" TargetMode="External" /><Relationship Id="rId33" Type="http://schemas.openxmlformats.org/officeDocument/2006/relationships/comments" Target="../comments34.xml" /><Relationship Id="rId34" Type="http://schemas.openxmlformats.org/officeDocument/2006/relationships/vmlDrawing" Target="../drawings/vmlDrawing7.vml" /><Relationship Id="rId35"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view="pageLayout" zoomScaleNormal="112" workbookViewId="0" topLeftCell="A1">
      <selection activeCell="A28" sqref="A28"/>
    </sheetView>
  </sheetViews>
  <sheetFormatPr defaultColWidth="9.140625" defaultRowHeight="15"/>
  <cols>
    <col min="1" max="1" width="13.7109375" style="0" customWidth="1"/>
    <col min="2" max="4" width="15.28125" style="0" bestFit="1" customWidth="1"/>
    <col min="5" max="5" width="15.00390625" style="0" bestFit="1" customWidth="1"/>
    <col min="6" max="6" width="15.00390625" style="0" hidden="1" customWidth="1"/>
    <col min="7" max="7" width="18.8515625" style="0" hidden="1" customWidth="1"/>
    <col min="8" max="8" width="15.8515625" style="0" hidden="1" customWidth="1"/>
    <col min="9" max="9" width="15.57421875" style="0" customWidth="1"/>
    <col min="10" max="10" width="13.421875" style="0" bestFit="1" customWidth="1"/>
  </cols>
  <sheetData>
    <row r="1" spans="1:5" ht="15">
      <c r="A1" s="249"/>
      <c r="B1" s="249"/>
      <c r="C1" s="249"/>
      <c r="D1" s="249"/>
      <c r="E1" s="249"/>
    </row>
    <row r="2" spans="1:5" ht="15">
      <c r="A2" s="249"/>
      <c r="B2" s="249"/>
      <c r="C2" s="249"/>
      <c r="D2" s="249"/>
      <c r="E2" s="249"/>
    </row>
    <row r="3" spans="1:5" ht="15">
      <c r="A3" s="249"/>
      <c r="B3" s="249"/>
      <c r="C3" s="249"/>
      <c r="D3" s="249"/>
      <c r="E3" s="249"/>
    </row>
    <row r="4" spans="1:5" ht="15">
      <c r="A4" s="249"/>
      <c r="B4" s="249"/>
      <c r="C4" s="249"/>
      <c r="D4" s="249"/>
      <c r="E4" s="249"/>
    </row>
    <row r="7" spans="1:8" ht="15">
      <c r="A7" s="183"/>
      <c r="B7" s="43"/>
      <c r="C7" s="136" t="s">
        <v>78</v>
      </c>
      <c r="D7" s="136" t="s">
        <v>79</v>
      </c>
      <c r="E7" s="136" t="s">
        <v>80</v>
      </c>
      <c r="F7" s="52" t="s">
        <v>72</v>
      </c>
      <c r="G7" s="52" t="s">
        <v>71</v>
      </c>
      <c r="H7" s="52" t="s">
        <v>81</v>
      </c>
    </row>
    <row r="8" spans="1:8" ht="15">
      <c r="A8" s="184" t="s">
        <v>75</v>
      </c>
      <c r="B8" s="44"/>
      <c r="C8" s="31">
        <f>'Summary Best'!$B$34</f>
        <v>-495000</v>
      </c>
      <c r="D8" s="31">
        <f>'Summary Most Likely'!$B$34</f>
        <v>-295000</v>
      </c>
      <c r="E8" s="31">
        <f>'Summary Worst'!$B$34</f>
        <v>-295000</v>
      </c>
      <c r="F8" s="46">
        <f>((E8-C8)/6)</f>
        <v>33333.333333333336</v>
      </c>
      <c r="G8" s="46">
        <f>(F8^2)</f>
        <v>1111111111.1111112</v>
      </c>
      <c r="H8" s="46">
        <f>(C8+(4)*(D8)+E8)/6</f>
        <v>-328333.3333333333</v>
      </c>
    </row>
    <row r="9" spans="1:8" ht="15">
      <c r="A9" s="184"/>
      <c r="B9" s="44"/>
      <c r="C9" s="31"/>
      <c r="D9" s="31"/>
      <c r="E9" s="31"/>
      <c r="F9" s="46"/>
      <c r="G9" s="46"/>
      <c r="H9" s="46"/>
    </row>
    <row r="10" spans="1:8" ht="15">
      <c r="A10" s="184"/>
      <c r="B10" s="5"/>
      <c r="C10" s="45"/>
      <c r="D10" s="46"/>
      <c r="E10" s="46"/>
      <c r="F10" s="46"/>
      <c r="G10" s="46"/>
      <c r="H10" s="5"/>
    </row>
    <row r="11" spans="1:8" ht="15">
      <c r="A11" s="184" t="s">
        <v>69</v>
      </c>
      <c r="B11" s="44"/>
      <c r="C11" s="31">
        <f>'Summary Best'!$C$34</f>
        <v>-728443.5273500001</v>
      </c>
      <c r="D11" s="31">
        <f>'Summary Most Likely'!$C$34</f>
        <v>-794283.6440000001</v>
      </c>
      <c r="E11" s="31">
        <f>'Summary Worst'!$C$34</f>
        <v>-804172.7100000002</v>
      </c>
      <c r="F11" s="46">
        <f>((E11-C11)/6)</f>
        <v>-12621.530441666682</v>
      </c>
      <c r="G11" s="46">
        <f>(F11^2)</f>
        <v>159303030.68991876</v>
      </c>
      <c r="H11" s="46">
        <f>(C11+(4)*(D11)+E11)/6</f>
        <v>-784958.4688916667</v>
      </c>
    </row>
    <row r="12" spans="1:8" ht="15">
      <c r="A12" s="177"/>
      <c r="B12" s="5"/>
      <c r="C12" s="45"/>
      <c r="D12" s="46"/>
      <c r="E12" s="46"/>
      <c r="F12" s="46"/>
      <c r="G12" s="46"/>
      <c r="H12" s="5"/>
    </row>
    <row r="13" spans="1:8" ht="15">
      <c r="A13" s="184"/>
      <c r="B13" s="5"/>
      <c r="C13" s="45"/>
      <c r="D13" s="46"/>
      <c r="E13" s="46"/>
      <c r="F13" s="46"/>
      <c r="G13" s="46"/>
      <c r="H13" s="5"/>
    </row>
    <row r="14" spans="1:8" ht="15">
      <c r="A14" s="184" t="s">
        <v>73</v>
      </c>
      <c r="B14" s="44"/>
      <c r="C14" s="31">
        <f>'Summary Best'!$D$34</f>
        <v>315846.7260330243</v>
      </c>
      <c r="D14" s="31">
        <f>'Summary Most Likely'!$D$34</f>
        <v>-229048.1078670298</v>
      </c>
      <c r="E14" s="31">
        <f>'Summary Worst'!$D$34</f>
        <v>-649879.4099309061</v>
      </c>
      <c r="F14" s="46">
        <f>((E14-C14)/6)</f>
        <v>-160954.35599398843</v>
      </c>
      <c r="G14" s="46">
        <f>(F14^2)</f>
        <v>25906304713.43956</v>
      </c>
      <c r="H14" s="46">
        <f>(C14+(4)*(D14)+E14)/6</f>
        <v>-208370.85256100018</v>
      </c>
    </row>
    <row r="15" spans="1:8" ht="15">
      <c r="A15" s="177"/>
      <c r="B15" s="44"/>
      <c r="C15" s="46"/>
      <c r="D15" s="49"/>
      <c r="E15" s="46"/>
      <c r="F15" s="46"/>
      <c r="G15" s="46"/>
      <c r="H15" s="46"/>
    </row>
    <row r="16" spans="1:8" ht="15">
      <c r="A16" s="177"/>
      <c r="B16" s="44"/>
      <c r="C16" s="46"/>
      <c r="D16" s="49"/>
      <c r="E16" s="46"/>
      <c r="F16" s="46"/>
      <c r="G16" s="46"/>
      <c r="H16" s="46"/>
    </row>
    <row r="17" spans="1:8" ht="15">
      <c r="A17" s="184" t="s">
        <v>74</v>
      </c>
      <c r="B17" s="44"/>
      <c r="C17" s="31">
        <f>'Summary Best'!$E$34</f>
        <v>2915238.776832016</v>
      </c>
      <c r="D17" s="31">
        <f>'Summary Most Likely'!$E$34</f>
        <v>1015486.7991833744</v>
      </c>
      <c r="E17" s="31">
        <f>'Summary Worst'!$E$34</f>
        <v>-68397.78414616222</v>
      </c>
      <c r="F17" s="46">
        <f>((E17-C17)/6)</f>
        <v>-497272.7601630297</v>
      </c>
      <c r="G17" s="46">
        <f>(F17^2)</f>
        <v>247280198000.15808</v>
      </c>
      <c r="H17" s="46">
        <f>(C17+(4)*(D17)+E17)/6</f>
        <v>1151464.6982365586</v>
      </c>
    </row>
    <row r="18" spans="1:8" ht="15">
      <c r="A18" s="184"/>
      <c r="B18" s="44"/>
      <c r="C18" s="46"/>
      <c r="D18" s="49"/>
      <c r="E18" s="46"/>
      <c r="F18" s="46"/>
      <c r="G18" s="46"/>
      <c r="H18" s="46"/>
    </row>
    <row r="19" spans="1:8" ht="15">
      <c r="A19" s="184"/>
      <c r="B19" s="44"/>
      <c r="C19" s="46"/>
      <c r="D19" s="49"/>
      <c r="E19" s="46"/>
      <c r="F19" s="46"/>
      <c r="G19" s="46"/>
      <c r="H19" s="46"/>
    </row>
    <row r="20" spans="1:8" ht="15">
      <c r="A20" s="184" t="s">
        <v>76</v>
      </c>
      <c r="B20" s="44"/>
      <c r="C20" s="31">
        <f>'Summary Best'!$F$34</f>
        <v>6645237.802510079</v>
      </c>
      <c r="D20" s="31">
        <f>'Summary Most Likely'!$F$34</f>
        <v>3599015.2582434574</v>
      </c>
      <c r="E20" s="31">
        <f>'Summary Worst'!$F$34</f>
        <v>1492175.661073547</v>
      </c>
      <c r="F20" s="46">
        <f>((E20-C20)/6)</f>
        <v>-858843.690239422</v>
      </c>
      <c r="G20" s="46">
        <f>(F20^2)</f>
        <v>737612484264.0682</v>
      </c>
      <c r="H20" s="46">
        <f>(C20+(4)*(D20)+E20)/6</f>
        <v>3755579.082759576</v>
      </c>
    </row>
    <row r="21" spans="1:8" ht="15">
      <c r="A21" s="184"/>
      <c r="B21" s="44"/>
      <c r="C21" s="46"/>
      <c r="D21" s="49"/>
      <c r="E21" s="46"/>
      <c r="F21" s="46"/>
      <c r="G21" s="46"/>
      <c r="H21" s="46"/>
    </row>
    <row r="22" spans="1:8" ht="15">
      <c r="A22" s="184"/>
      <c r="B22" s="44"/>
      <c r="C22" s="46"/>
      <c r="D22" s="49"/>
      <c r="E22" s="46"/>
      <c r="F22" s="46"/>
      <c r="G22" s="46"/>
      <c r="H22" s="46"/>
    </row>
    <row r="23" spans="1:8" ht="15">
      <c r="A23" s="184" t="s">
        <v>77</v>
      </c>
      <c r="B23" s="44"/>
      <c r="C23" s="31">
        <f>'Summary Best'!$G$34</f>
        <v>12385851.49329758</v>
      </c>
      <c r="D23" s="31">
        <f>'Summary Most Likely'!$G$34</f>
        <v>6940417.534129547</v>
      </c>
      <c r="E23" s="31">
        <f>'Summary Worst'!$G$34</f>
        <v>3510464.2900682776</v>
      </c>
      <c r="F23" s="46">
        <f>((E23-C23)/6)</f>
        <v>-1479231.200538217</v>
      </c>
      <c r="G23" s="46">
        <f>(F23^2)</f>
        <v>2188124944645.735</v>
      </c>
      <c r="H23" s="46">
        <f>(C23+(4)*(D23)+E23)/6</f>
        <v>7276330.986647341</v>
      </c>
    </row>
    <row r="24" spans="1:8" ht="15">
      <c r="A24" s="184"/>
      <c r="B24" s="44"/>
      <c r="C24" s="46"/>
      <c r="D24" s="49"/>
      <c r="E24" s="46"/>
      <c r="F24" s="46"/>
      <c r="G24" s="46"/>
      <c r="H24" s="46"/>
    </row>
    <row r="25" spans="1:8" ht="15">
      <c r="A25" s="177"/>
      <c r="B25" s="44"/>
      <c r="C25" s="46"/>
      <c r="D25" s="49"/>
      <c r="E25" s="46"/>
      <c r="F25" s="46"/>
      <c r="G25" s="46"/>
      <c r="H25" s="46"/>
    </row>
    <row r="26" spans="1:8" ht="15">
      <c r="A26" s="177"/>
      <c r="B26" s="50" t="s">
        <v>70</v>
      </c>
      <c r="C26" s="51" t="s">
        <v>82</v>
      </c>
      <c r="D26" s="51" t="s">
        <v>83</v>
      </c>
      <c r="E26" s="46"/>
      <c r="F26" s="52" t="s">
        <v>72</v>
      </c>
      <c r="G26" s="46"/>
      <c r="H26" s="52" t="s">
        <v>81</v>
      </c>
    </row>
    <row r="27" spans="1:8" ht="15">
      <c r="A27" s="177"/>
      <c r="B27" s="5"/>
      <c r="C27" s="47"/>
      <c r="D27" s="7"/>
      <c r="E27" s="5"/>
      <c r="F27" s="5"/>
      <c r="G27" s="5"/>
      <c r="H27" s="5"/>
    </row>
    <row r="28" spans="1:8" ht="15">
      <c r="A28" s="184" t="s">
        <v>213</v>
      </c>
      <c r="B28" s="5"/>
      <c r="C28" s="47"/>
      <c r="D28" s="7"/>
      <c r="E28" s="5"/>
      <c r="F28" s="5"/>
      <c r="G28" s="5"/>
      <c r="H28" s="5"/>
    </row>
    <row r="29" spans="1:8" ht="15">
      <c r="A29" s="185"/>
      <c r="B29" s="44">
        <v>0.68</v>
      </c>
      <c r="C29" s="53">
        <f>(H29-F29)</f>
        <v>9072803.410389626</v>
      </c>
      <c r="D29" s="54">
        <f>(H29+F29)</f>
        <v>12650620.815325325</v>
      </c>
      <c r="E29" s="55"/>
      <c r="F29" s="54">
        <f>(G8+G11+G14+G17+G20+G23)^0.5</f>
        <v>1788908.7024678488</v>
      </c>
      <c r="G29" s="46"/>
      <c r="H29" s="46">
        <f>SUM(H8:H28)</f>
        <v>10861712.112857476</v>
      </c>
    </row>
    <row r="30" spans="1:8" ht="15">
      <c r="A30" s="185"/>
      <c r="B30" s="44">
        <v>0.95</v>
      </c>
      <c r="C30" s="54">
        <f>(C29-F29)</f>
        <v>7283894.707921778</v>
      </c>
      <c r="D30" s="54">
        <f>(D29+F29)</f>
        <v>14439529.517793175</v>
      </c>
      <c r="E30" s="56"/>
      <c r="F30" s="56"/>
      <c r="G30" s="5"/>
      <c r="H30" s="5"/>
    </row>
    <row r="31" spans="1:8" ht="15">
      <c r="A31" s="185"/>
      <c r="B31" s="44">
        <v>0.99</v>
      </c>
      <c r="C31" s="54">
        <f>(C30-F29)</f>
        <v>5494986.005453929</v>
      </c>
      <c r="D31" s="54">
        <f>(D30+F29)</f>
        <v>16228438.220261024</v>
      </c>
      <c r="E31" s="56"/>
      <c r="F31" s="56"/>
      <c r="G31" s="5"/>
      <c r="H31" s="5"/>
    </row>
    <row r="34" spans="1:8" ht="15">
      <c r="A34" s="247" t="s">
        <v>294</v>
      </c>
      <c r="B34" s="247"/>
      <c r="C34" s="247"/>
      <c r="D34" s="247"/>
      <c r="E34" s="247"/>
      <c r="F34" s="247"/>
      <c r="G34" s="247"/>
      <c r="H34" s="247"/>
    </row>
    <row r="35" spans="1:8" ht="15">
      <c r="A35" s="247"/>
      <c r="B35" s="247"/>
      <c r="C35" s="247"/>
      <c r="D35" s="247"/>
      <c r="E35" s="247"/>
      <c r="F35" s="247"/>
      <c r="G35" s="247"/>
      <c r="H35" s="247"/>
    </row>
    <row r="36" spans="1:8" ht="15">
      <c r="A36" s="247"/>
      <c r="B36" s="247"/>
      <c r="C36" s="247"/>
      <c r="D36" s="247"/>
      <c r="E36" s="247"/>
      <c r="F36" s="247"/>
      <c r="G36" s="247"/>
      <c r="H36" s="247"/>
    </row>
    <row r="37" spans="1:8" ht="15">
      <c r="A37" s="247"/>
      <c r="B37" s="247"/>
      <c r="C37" s="247"/>
      <c r="D37" s="247"/>
      <c r="E37" s="247"/>
      <c r="F37" s="247"/>
      <c r="G37" s="247"/>
      <c r="H37" s="247"/>
    </row>
    <row r="38" spans="1:8" ht="15">
      <c r="A38" s="247"/>
      <c r="B38" s="247"/>
      <c r="C38" s="247"/>
      <c r="D38" s="247"/>
      <c r="E38" s="247"/>
      <c r="F38" s="247"/>
      <c r="G38" s="247"/>
      <c r="H38" s="247"/>
    </row>
    <row r="39" spans="1:8" ht="15">
      <c r="A39" s="247"/>
      <c r="B39" s="247"/>
      <c r="C39" s="247"/>
      <c r="D39" s="247"/>
      <c r="E39" s="247"/>
      <c r="F39" s="247"/>
      <c r="G39" s="247"/>
      <c r="H39" s="247"/>
    </row>
    <row r="40" spans="1:8" ht="15">
      <c r="A40" s="247"/>
      <c r="B40" s="247"/>
      <c r="C40" s="247"/>
      <c r="D40" s="247"/>
      <c r="E40" s="247"/>
      <c r="F40" s="247"/>
      <c r="G40" s="247"/>
      <c r="H40" s="247"/>
    </row>
    <row r="41" spans="1:8" ht="15">
      <c r="A41" s="247"/>
      <c r="B41" s="247"/>
      <c r="C41" s="247"/>
      <c r="D41" s="247"/>
      <c r="E41" s="247"/>
      <c r="F41" s="247"/>
      <c r="G41" s="247"/>
      <c r="H41" s="247"/>
    </row>
    <row r="42" spans="1:8" ht="15">
      <c r="A42" s="247"/>
      <c r="B42" s="247"/>
      <c r="C42" s="247"/>
      <c r="D42" s="247"/>
      <c r="E42" s="247"/>
      <c r="F42" s="247"/>
      <c r="G42" s="247"/>
      <c r="H42" s="247"/>
    </row>
    <row r="43" spans="1:8" ht="15">
      <c r="A43" s="247"/>
      <c r="B43" s="247"/>
      <c r="C43" s="247"/>
      <c r="D43" s="247"/>
      <c r="E43" s="247"/>
      <c r="F43" s="247"/>
      <c r="G43" s="247"/>
      <c r="H43" s="247"/>
    </row>
    <row r="44" spans="1:8" ht="15">
      <c r="A44" s="247"/>
      <c r="B44" s="247"/>
      <c r="C44" s="247"/>
      <c r="D44" s="247"/>
      <c r="E44" s="247"/>
      <c r="F44" s="247"/>
      <c r="G44" s="247"/>
      <c r="H44" s="247"/>
    </row>
    <row r="45" spans="1:8" ht="15">
      <c r="A45" s="247"/>
      <c r="B45" s="247"/>
      <c r="C45" s="247"/>
      <c r="D45" s="247"/>
      <c r="E45" s="247"/>
      <c r="F45" s="247"/>
      <c r="G45" s="247"/>
      <c r="H45" s="247"/>
    </row>
    <row r="46" spans="1:8" ht="15">
      <c r="A46" s="247"/>
      <c r="B46" s="247"/>
      <c r="C46" s="247"/>
      <c r="D46" s="247"/>
      <c r="E46" s="247"/>
      <c r="F46" s="247"/>
      <c r="G46" s="247"/>
      <c r="H46" s="247"/>
    </row>
    <row r="47" spans="1:8" ht="15">
      <c r="A47" s="247"/>
      <c r="B47" s="247"/>
      <c r="C47" s="247"/>
      <c r="D47" s="247"/>
      <c r="E47" s="247"/>
      <c r="F47" s="247"/>
      <c r="G47" s="247"/>
      <c r="H47" s="247"/>
    </row>
    <row r="49" spans="1:5" ht="15">
      <c r="A49" s="248" t="s">
        <v>288</v>
      </c>
      <c r="B49" s="248"/>
      <c r="C49" s="248"/>
      <c r="D49" s="248"/>
      <c r="E49" s="248"/>
    </row>
  </sheetData>
  <sheetProtection password="DC55" sheet="1" objects="1" scenarios="1" formatCells="0" formatColumns="0" formatRows="0" insertColumns="0" insertRows="0" insertHyperlinks="0" deleteColumns="0" deleteRows="0" selectLockedCells="1" sort="0"/>
  <mergeCells count="3">
    <mergeCell ref="A34:H47"/>
    <mergeCell ref="A49:E49"/>
    <mergeCell ref="A1:E4"/>
  </mergeCells>
  <printOptions horizontalCentered="1"/>
  <pageMargins left="0.7" right="0.7" top="0.75" bottom="0.75" header="0.3" footer="0.3"/>
  <pageSetup fitToHeight="1" fitToWidth="1" horizontalDpi="600" verticalDpi="600" orientation="landscape" scale="70" r:id="rId2"/>
  <headerFooter>
    <oddHeader>&amp;C&amp;"-,Bold"&amp;24&amp;UProject Victories Project Selection Tool</oddHeader>
    <oddFooter>&amp;CCopyright The Volpe Consortium, Inc.</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
      <selection activeCell="A2" sqref="A2"/>
    </sheetView>
  </sheetViews>
  <sheetFormatPr defaultColWidth="9.140625" defaultRowHeight="15"/>
  <cols>
    <col min="1" max="1" width="28.00390625" style="0" customWidth="1"/>
    <col min="2" max="13" width="14.28125" style="0" bestFit="1" customWidth="1"/>
    <col min="14" max="14" width="15.28125" style="0" bestFit="1" customWidth="1"/>
  </cols>
  <sheetData>
    <row r="1" spans="1:15" ht="15">
      <c r="A1" s="63"/>
      <c r="B1" s="101" t="s">
        <v>15</v>
      </c>
      <c r="C1" s="101" t="s">
        <v>35</v>
      </c>
      <c r="D1" s="101" t="s">
        <v>54</v>
      </c>
      <c r="E1" s="125"/>
      <c r="F1" s="125"/>
      <c r="G1" s="125"/>
      <c r="H1" s="125"/>
      <c r="I1" s="125"/>
      <c r="J1" s="125"/>
      <c r="K1" s="125"/>
      <c r="L1" s="125"/>
      <c r="M1" s="125"/>
      <c r="N1" s="126"/>
      <c r="O1" s="121"/>
    </row>
    <row r="2" spans="1:15" ht="15">
      <c r="A2" s="169" t="s">
        <v>281</v>
      </c>
      <c r="B2" s="172">
        <f>Calcs!E22</f>
        <v>11.504463131543012</v>
      </c>
      <c r="C2" s="172">
        <f>Calcs!F22</f>
        <v>4.995536868456988</v>
      </c>
      <c r="D2" s="122">
        <f>B2+C2</f>
        <v>16.5</v>
      </c>
      <c r="E2" s="74"/>
      <c r="F2" s="74"/>
      <c r="G2" s="74"/>
      <c r="H2" s="74"/>
      <c r="I2" s="74"/>
      <c r="J2" s="74"/>
      <c r="K2" s="74"/>
      <c r="L2" s="74"/>
      <c r="M2" s="74"/>
      <c r="N2" s="75"/>
      <c r="O2" s="121"/>
    </row>
    <row r="3" spans="1:15" ht="15">
      <c r="A3" s="169" t="s">
        <v>282</v>
      </c>
      <c r="B3" s="172">
        <f>Calcs!E23</f>
        <v>138</v>
      </c>
      <c r="C3" s="172">
        <f>Calcs!F23</f>
        <v>60</v>
      </c>
      <c r="D3" s="122">
        <f>SUM(B3:C3)</f>
        <v>198</v>
      </c>
      <c r="E3" s="74"/>
      <c r="F3" s="74"/>
      <c r="G3" s="74"/>
      <c r="H3" s="74"/>
      <c r="I3" s="74"/>
      <c r="J3" s="74"/>
      <c r="K3" s="74"/>
      <c r="L3" s="74"/>
      <c r="M3" s="74"/>
      <c r="N3" s="75"/>
      <c r="O3" s="121"/>
    </row>
    <row r="4" spans="1:15" ht="15">
      <c r="A4" s="169" t="s">
        <v>283</v>
      </c>
      <c r="B4" s="177">
        <v>9</v>
      </c>
      <c r="C4" s="177">
        <v>9</v>
      </c>
      <c r="D4" s="177">
        <v>9</v>
      </c>
      <c r="E4" s="177">
        <v>10</v>
      </c>
      <c r="F4" s="177">
        <v>10</v>
      </c>
      <c r="G4" s="177">
        <v>10</v>
      </c>
      <c r="H4" s="177">
        <v>11</v>
      </c>
      <c r="I4" s="177">
        <v>11</v>
      </c>
      <c r="J4" s="177">
        <v>11</v>
      </c>
      <c r="K4" s="177">
        <v>11</v>
      </c>
      <c r="L4" s="177">
        <v>12</v>
      </c>
      <c r="M4" s="177">
        <v>12</v>
      </c>
      <c r="N4" s="75"/>
      <c r="O4" s="121"/>
    </row>
    <row r="5" spans="1:14" ht="15">
      <c r="A5" s="169" t="s">
        <v>284</v>
      </c>
      <c r="B5" s="173">
        <f>'FY 4 Best'!M5*1.03</f>
        <v>20130.43033696907</v>
      </c>
      <c r="C5" s="173">
        <f>B5*1.03</f>
        <v>20734.343247078144</v>
      </c>
      <c r="D5" s="173">
        <f aca="true" t="shared" si="0" ref="D5:M5">C5*1.03</f>
        <v>21356.37354449049</v>
      </c>
      <c r="E5" s="173">
        <f t="shared" si="0"/>
        <v>21997.064750825204</v>
      </c>
      <c r="F5" s="173">
        <f t="shared" si="0"/>
        <v>22656.97669334996</v>
      </c>
      <c r="G5" s="173">
        <f t="shared" si="0"/>
        <v>23336.68599415046</v>
      </c>
      <c r="H5" s="173">
        <f t="shared" si="0"/>
        <v>24036.786573974972</v>
      </c>
      <c r="I5" s="173">
        <f t="shared" si="0"/>
        <v>24757.890171194224</v>
      </c>
      <c r="J5" s="173">
        <f t="shared" si="0"/>
        <v>25500.62687633005</v>
      </c>
      <c r="K5" s="173">
        <f t="shared" si="0"/>
        <v>26265.645682619954</v>
      </c>
      <c r="L5" s="173">
        <f t="shared" si="0"/>
        <v>27053.615053098554</v>
      </c>
      <c r="M5" s="173">
        <f t="shared" si="0"/>
        <v>27865.223504691512</v>
      </c>
      <c r="N5" s="127">
        <f>SUM(B5:M5)</f>
        <v>285691.6624287726</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3985825.2067198763</v>
      </c>
      <c r="C7" s="31">
        <f aca="true" t="shared" si="1" ref="C7:M7">C5*$D$3</f>
        <v>4105399.9629214727</v>
      </c>
      <c r="D7" s="31">
        <f t="shared" si="1"/>
        <v>4228561.961809116</v>
      </c>
      <c r="E7" s="31">
        <f t="shared" si="1"/>
        <v>4355418.820663391</v>
      </c>
      <c r="F7" s="31">
        <f t="shared" si="1"/>
        <v>4486081.385283292</v>
      </c>
      <c r="G7" s="31">
        <f t="shared" si="1"/>
        <v>4620663.826841791</v>
      </c>
      <c r="H7" s="31">
        <f t="shared" si="1"/>
        <v>4759283.741647044</v>
      </c>
      <c r="I7" s="31">
        <f t="shared" si="1"/>
        <v>4902062.253896456</v>
      </c>
      <c r="J7" s="31">
        <f t="shared" si="1"/>
        <v>5049124.12151335</v>
      </c>
      <c r="K7" s="31">
        <f t="shared" si="1"/>
        <v>5200597.845158751</v>
      </c>
      <c r="L7" s="31">
        <f t="shared" si="1"/>
        <v>5356615.780513514</v>
      </c>
      <c r="M7" s="31">
        <f t="shared" si="1"/>
        <v>5517314.253928919</v>
      </c>
      <c r="N7" s="32">
        <f>SUM(B7:M7)</f>
        <v>56566949.16089698</v>
      </c>
    </row>
    <row r="8" spans="1:14" ht="15">
      <c r="A8" s="133"/>
      <c r="B8" s="36"/>
      <c r="C8" s="36"/>
      <c r="D8" s="36"/>
      <c r="E8" s="36"/>
      <c r="F8" s="36"/>
      <c r="G8" s="36"/>
      <c r="H8" s="36"/>
      <c r="I8" s="36"/>
      <c r="J8" s="36"/>
      <c r="K8" s="36"/>
      <c r="L8" s="36"/>
      <c r="M8" s="36"/>
      <c r="N8" s="37"/>
    </row>
    <row r="9" spans="1:14" ht="15">
      <c r="A9" s="169" t="s">
        <v>56</v>
      </c>
      <c r="B9" s="21">
        <f>B5*$B$3</f>
        <v>2777999.386501732</v>
      </c>
      <c r="C9" s="21">
        <f aca="true" t="shared" si="2" ref="C9:M9">C5*$B$3</f>
        <v>2861339.3680967838</v>
      </c>
      <c r="D9" s="21">
        <f t="shared" si="2"/>
        <v>2947179.5491396873</v>
      </c>
      <c r="E9" s="21">
        <f t="shared" si="2"/>
        <v>3035594.935613878</v>
      </c>
      <c r="F9" s="21">
        <f t="shared" si="2"/>
        <v>3126662.783682294</v>
      </c>
      <c r="G9" s="21">
        <f t="shared" si="2"/>
        <v>3220462.667192763</v>
      </c>
      <c r="H9" s="21">
        <f t="shared" si="2"/>
        <v>3317076.547208546</v>
      </c>
      <c r="I9" s="21">
        <f t="shared" si="2"/>
        <v>3416588.843624803</v>
      </c>
      <c r="J9" s="21">
        <f t="shared" si="2"/>
        <v>3519086.508933547</v>
      </c>
      <c r="K9" s="21">
        <f t="shared" si="2"/>
        <v>3624659.1042015534</v>
      </c>
      <c r="L9" s="21">
        <f t="shared" si="2"/>
        <v>3733398.8773276005</v>
      </c>
      <c r="M9" s="21">
        <f t="shared" si="2"/>
        <v>3845400.843647429</v>
      </c>
      <c r="N9" s="32">
        <f>SUM(B9:M9)</f>
        <v>39425449.41517062</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0</v>
      </c>
      <c r="D11" s="175">
        <v>200000</v>
      </c>
      <c r="E11" s="175">
        <v>0</v>
      </c>
      <c r="F11" s="175">
        <v>0</v>
      </c>
      <c r="G11" s="175">
        <v>0</v>
      </c>
      <c r="H11" s="175">
        <v>200000</v>
      </c>
      <c r="I11" s="175">
        <v>0</v>
      </c>
      <c r="J11" s="175">
        <v>0</v>
      </c>
      <c r="K11" s="175">
        <v>0</v>
      </c>
      <c r="L11" s="175">
        <v>0</v>
      </c>
      <c r="M11" s="175">
        <v>0</v>
      </c>
      <c r="N11" s="32">
        <f aca="true" t="shared" si="3" ref="N11:N32">SUM(B11:M11)</f>
        <v>400000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32">
        <f t="shared" si="3"/>
        <v>0</v>
      </c>
    </row>
    <row r="15" spans="1:14" ht="15">
      <c r="A15" s="169" t="s">
        <v>198</v>
      </c>
      <c r="B15" s="175">
        <v>40725</v>
      </c>
      <c r="C15" s="175">
        <v>40725</v>
      </c>
      <c r="D15" s="175">
        <v>40725</v>
      </c>
      <c r="E15" s="175">
        <v>45250</v>
      </c>
      <c r="F15" s="175">
        <v>45250</v>
      </c>
      <c r="G15" s="175">
        <v>45250</v>
      </c>
      <c r="H15" s="175">
        <v>49775</v>
      </c>
      <c r="I15" s="175">
        <v>49775</v>
      </c>
      <c r="J15" s="175">
        <v>49775</v>
      </c>
      <c r="K15" s="175">
        <v>49775</v>
      </c>
      <c r="L15" s="175">
        <v>54300</v>
      </c>
      <c r="M15" s="175">
        <v>54300</v>
      </c>
      <c r="N15" s="32">
        <f t="shared" si="3"/>
        <v>565625</v>
      </c>
    </row>
    <row r="16" spans="1:14" ht="15">
      <c r="A16" s="169" t="s">
        <v>199</v>
      </c>
      <c r="B16" s="175">
        <v>40725</v>
      </c>
      <c r="C16" s="175">
        <v>40725</v>
      </c>
      <c r="D16" s="175">
        <v>40725</v>
      </c>
      <c r="E16" s="175">
        <v>40725</v>
      </c>
      <c r="F16" s="175">
        <v>45250</v>
      </c>
      <c r="G16" s="175">
        <v>45250</v>
      </c>
      <c r="H16" s="175">
        <v>45250</v>
      </c>
      <c r="I16" s="175">
        <v>49775</v>
      </c>
      <c r="J16" s="175">
        <v>49775</v>
      </c>
      <c r="K16" s="175">
        <v>49775</v>
      </c>
      <c r="L16" s="175">
        <v>54300</v>
      </c>
      <c r="M16" s="175">
        <v>54300</v>
      </c>
      <c r="N16" s="32">
        <f t="shared" si="3"/>
        <v>556575</v>
      </c>
    </row>
    <row r="17" spans="1:14" ht="15">
      <c r="A17" s="169" t="s">
        <v>200</v>
      </c>
      <c r="B17" s="175">
        <v>36200</v>
      </c>
      <c r="C17" s="175">
        <v>40725</v>
      </c>
      <c r="D17" s="175">
        <v>40725</v>
      </c>
      <c r="E17" s="175">
        <v>40725</v>
      </c>
      <c r="F17" s="175">
        <v>40725</v>
      </c>
      <c r="G17" s="175">
        <v>45250</v>
      </c>
      <c r="H17" s="175">
        <v>45250</v>
      </c>
      <c r="I17" s="175">
        <v>45250</v>
      </c>
      <c r="J17" s="175">
        <v>49775</v>
      </c>
      <c r="K17" s="175">
        <v>49775</v>
      </c>
      <c r="L17" s="175">
        <v>49775</v>
      </c>
      <c r="M17" s="175">
        <v>54300</v>
      </c>
      <c r="N17" s="32">
        <f t="shared" si="3"/>
        <v>538475</v>
      </c>
    </row>
    <row r="18" spans="1:14" ht="15">
      <c r="A18" s="169" t="s">
        <v>201</v>
      </c>
      <c r="B18" s="175">
        <v>36200</v>
      </c>
      <c r="C18" s="175">
        <v>36200</v>
      </c>
      <c r="D18" s="175">
        <v>40725</v>
      </c>
      <c r="E18" s="175">
        <v>40725</v>
      </c>
      <c r="F18" s="175">
        <v>40725</v>
      </c>
      <c r="G18" s="175">
        <v>40725</v>
      </c>
      <c r="H18" s="175">
        <v>45250</v>
      </c>
      <c r="I18" s="175">
        <v>45250</v>
      </c>
      <c r="J18" s="175">
        <v>45250</v>
      </c>
      <c r="K18" s="175">
        <v>49775</v>
      </c>
      <c r="L18" s="175">
        <v>49775</v>
      </c>
      <c r="M18" s="175">
        <v>49775</v>
      </c>
      <c r="N18" s="32">
        <f t="shared" si="3"/>
        <v>520375</v>
      </c>
    </row>
    <row r="19" spans="1:14" ht="15">
      <c r="A19" s="169" t="s">
        <v>203</v>
      </c>
      <c r="B19" s="175">
        <v>8800</v>
      </c>
      <c r="C19" s="175">
        <v>8800</v>
      </c>
      <c r="D19" s="175">
        <v>8800</v>
      </c>
      <c r="E19" s="175">
        <v>8800</v>
      </c>
      <c r="F19" s="175">
        <v>8800</v>
      </c>
      <c r="G19" s="175">
        <v>8800</v>
      </c>
      <c r="H19" s="175">
        <v>8800</v>
      </c>
      <c r="I19" s="175">
        <v>8800</v>
      </c>
      <c r="J19" s="175">
        <v>8800</v>
      </c>
      <c r="K19" s="175">
        <v>8800</v>
      </c>
      <c r="L19" s="175">
        <v>8800</v>
      </c>
      <c r="M19" s="175">
        <v>8800</v>
      </c>
      <c r="N19" s="58">
        <f>SUM(B19:M19)</f>
        <v>105600</v>
      </c>
    </row>
    <row r="20" spans="1:14" ht="15">
      <c r="A20" s="169" t="s">
        <v>202</v>
      </c>
      <c r="B20" s="175">
        <v>8800</v>
      </c>
      <c r="C20" s="175">
        <v>8800</v>
      </c>
      <c r="D20" s="175">
        <v>8800</v>
      </c>
      <c r="E20" s="175">
        <v>8800</v>
      </c>
      <c r="F20" s="175">
        <v>8800</v>
      </c>
      <c r="G20" s="175">
        <v>8800</v>
      </c>
      <c r="H20" s="175">
        <v>8800</v>
      </c>
      <c r="I20" s="175">
        <v>8800</v>
      </c>
      <c r="J20" s="175">
        <v>8800</v>
      </c>
      <c r="K20" s="175">
        <v>8800</v>
      </c>
      <c r="L20" s="175">
        <v>8800</v>
      </c>
      <c r="M20" s="175">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32">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32">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32">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32">
        <f t="shared" si="3"/>
        <v>72000</v>
      </c>
    </row>
    <row r="27" spans="1:14" ht="15">
      <c r="A27" s="169" t="s">
        <v>46</v>
      </c>
      <c r="B27" s="175">
        <f>(B4*300*30*0.007469)*2+1000</f>
        <v>2209.978</v>
      </c>
      <c r="C27" s="175">
        <f aca="true" t="shared" si="4" ref="C27:M27">(C4*300*30*0.007469)*2+1000</f>
        <v>2209.978</v>
      </c>
      <c r="D27" s="175">
        <f t="shared" si="4"/>
        <v>2209.978</v>
      </c>
      <c r="E27" s="175">
        <f t="shared" si="4"/>
        <v>2344.42</v>
      </c>
      <c r="F27" s="175">
        <f t="shared" si="4"/>
        <v>2344.42</v>
      </c>
      <c r="G27" s="175">
        <f t="shared" si="4"/>
        <v>2344.42</v>
      </c>
      <c r="H27" s="175">
        <f t="shared" si="4"/>
        <v>2478.862</v>
      </c>
      <c r="I27" s="175">
        <f t="shared" si="4"/>
        <v>2478.862</v>
      </c>
      <c r="J27" s="175">
        <f t="shared" si="4"/>
        <v>2478.862</v>
      </c>
      <c r="K27" s="175">
        <f t="shared" si="4"/>
        <v>2478.862</v>
      </c>
      <c r="L27" s="175">
        <f t="shared" si="4"/>
        <v>2613.304</v>
      </c>
      <c r="M27" s="175">
        <f t="shared" si="4"/>
        <v>2613.304</v>
      </c>
      <c r="N27" s="32">
        <f t="shared" si="3"/>
        <v>28805.250000000004</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SUM(B28:M28)</f>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32">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SUM(B30:M30)</f>
        <v>20004</v>
      </c>
    </row>
    <row r="31" spans="1:14" ht="15">
      <c r="A31" s="169" t="s">
        <v>214</v>
      </c>
      <c r="B31" s="175">
        <v>17382.89</v>
      </c>
      <c r="C31" s="175">
        <v>17382.89</v>
      </c>
      <c r="D31" s="175">
        <v>17382.89</v>
      </c>
      <c r="E31" s="175">
        <v>17382.89</v>
      </c>
      <c r="F31" s="175">
        <v>17382.89</v>
      </c>
      <c r="G31" s="175">
        <v>17382.89</v>
      </c>
      <c r="H31" s="175">
        <v>17382.89</v>
      </c>
      <c r="I31" s="175">
        <v>17382.89</v>
      </c>
      <c r="J31" s="175">
        <v>17382.89</v>
      </c>
      <c r="K31" s="175">
        <v>17382.89</v>
      </c>
      <c r="L31" s="175">
        <v>17382.89</v>
      </c>
      <c r="M31" s="175">
        <v>17382.89</v>
      </c>
      <c r="N31" s="32">
        <f t="shared" si="3"/>
        <v>208594.68000000005</v>
      </c>
    </row>
    <row r="32" spans="1:14" ht="15">
      <c r="A32" s="170" t="s">
        <v>59</v>
      </c>
      <c r="B32" s="175">
        <f>3400+(1*(B5-10882.89)/2)+5441.445</f>
        <v>13465.215168484536</v>
      </c>
      <c r="C32" s="175">
        <f aca="true" t="shared" si="5" ref="C32:M32">3400+(1*(C5-10882.89)/2)+5441.445</f>
        <v>13767.171623539072</v>
      </c>
      <c r="D32" s="175">
        <f t="shared" si="5"/>
        <v>14078.186772245244</v>
      </c>
      <c r="E32" s="175">
        <f t="shared" si="5"/>
        <v>14398.532375412602</v>
      </c>
      <c r="F32" s="175">
        <f t="shared" si="5"/>
        <v>14728.48834667498</v>
      </c>
      <c r="G32" s="175">
        <f t="shared" si="5"/>
        <v>15068.34299707523</v>
      </c>
      <c r="H32" s="175">
        <f t="shared" si="5"/>
        <v>15418.393286987486</v>
      </c>
      <c r="I32" s="175">
        <f t="shared" si="5"/>
        <v>15778.945085597112</v>
      </c>
      <c r="J32" s="175">
        <f t="shared" si="5"/>
        <v>16150.313438165025</v>
      </c>
      <c r="K32" s="175">
        <f t="shared" si="5"/>
        <v>16532.82284130998</v>
      </c>
      <c r="L32" s="175">
        <f t="shared" si="5"/>
        <v>16926.807526549277</v>
      </c>
      <c r="M32" s="175">
        <f t="shared" si="5"/>
        <v>17332.611752345758</v>
      </c>
      <c r="N32" s="38">
        <f t="shared" si="3"/>
        <v>183645.83121438627</v>
      </c>
    </row>
    <row r="33" spans="1:14" ht="15.75" thickBot="1">
      <c r="A33" s="170" t="s">
        <v>58</v>
      </c>
      <c r="B33" s="175">
        <f>3400+(1*(B5-10882.89)/2)</f>
        <v>8023.770168484536</v>
      </c>
      <c r="C33" s="175">
        <f aca="true" t="shared" si="6" ref="C33:M33">3400+(1*(C5-10882.89)/2)</f>
        <v>8325.726623539073</v>
      </c>
      <c r="D33" s="175">
        <f t="shared" si="6"/>
        <v>8636.741772245245</v>
      </c>
      <c r="E33" s="175">
        <f t="shared" si="6"/>
        <v>8957.087375412602</v>
      </c>
      <c r="F33" s="175">
        <f t="shared" si="6"/>
        <v>9287.04334667498</v>
      </c>
      <c r="G33" s="175">
        <f t="shared" si="6"/>
        <v>9626.89799707523</v>
      </c>
      <c r="H33" s="175">
        <f t="shared" si="6"/>
        <v>9976.948286987486</v>
      </c>
      <c r="I33" s="175">
        <f t="shared" si="6"/>
        <v>10337.500085597112</v>
      </c>
      <c r="J33" s="175">
        <f t="shared" si="6"/>
        <v>10708.868438165026</v>
      </c>
      <c r="K33" s="175">
        <f t="shared" si="6"/>
        <v>11091.377841309977</v>
      </c>
      <c r="L33" s="175">
        <f t="shared" si="6"/>
        <v>11485.362526549277</v>
      </c>
      <c r="M33" s="175">
        <f t="shared" si="6"/>
        <v>11891.166752345756</v>
      </c>
      <c r="N33" s="35">
        <f>SUM(B33:M33)</f>
        <v>118348.49121438629</v>
      </c>
    </row>
    <row r="34" spans="1:14" ht="15.75" thickBot="1">
      <c r="A34" s="171" t="s">
        <v>94</v>
      </c>
      <c r="B34" s="22">
        <f aca="true" t="shared" si="7" ref="B34:M34">B7-SUM(B9:B33)</f>
        <v>876626.9668811751</v>
      </c>
      <c r="C34" s="22">
        <f t="shared" si="7"/>
        <v>907732.8285776107</v>
      </c>
      <c r="D34" s="22">
        <f t="shared" si="7"/>
        <v>739907.6161249382</v>
      </c>
      <c r="E34" s="22">
        <f t="shared" si="7"/>
        <v>973048.9552986873</v>
      </c>
      <c r="F34" s="22">
        <f t="shared" si="7"/>
        <v>1007458.759907648</v>
      </c>
      <c r="G34" s="22">
        <f t="shared" si="7"/>
        <v>1043036.6086548776</v>
      </c>
      <c r="H34" s="22">
        <f t="shared" si="7"/>
        <v>875158.1008645226</v>
      </c>
      <c r="I34" s="22">
        <f t="shared" si="7"/>
        <v>1113178.213100459</v>
      </c>
      <c r="J34" s="22">
        <f t="shared" si="7"/>
        <v>1152474.6787034725</v>
      </c>
      <c r="K34" s="22">
        <f t="shared" si="7"/>
        <v>1193085.7882745774</v>
      </c>
      <c r="L34" s="22">
        <f t="shared" si="7"/>
        <v>1230391.5391328144</v>
      </c>
      <c r="M34" s="22">
        <f t="shared" si="7"/>
        <v>1273751.4377767984</v>
      </c>
      <c r="N34" s="23">
        <f>SUM(B34:M34)</f>
        <v>12385851.49329758</v>
      </c>
    </row>
    <row r="37" spans="1:14" ht="15">
      <c r="A37" s="247" t="s">
        <v>291</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
      <selection activeCell="A2" sqref="A2"/>
    </sheetView>
  </sheetViews>
  <sheetFormatPr defaultColWidth="9.140625" defaultRowHeight="15"/>
  <cols>
    <col min="1" max="1" width="27.8515625" style="0" customWidth="1"/>
    <col min="2" max="4" width="13.421875" style="0" bestFit="1" customWidth="1"/>
    <col min="5" max="9" width="13.421875" style="0" customWidth="1"/>
    <col min="10" max="12" width="12.57421875" style="0" customWidth="1"/>
    <col min="13" max="14" width="14.28125" style="0" customWidth="1"/>
    <col min="15" max="15" width="12.5742187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3">
        <f>B5/600</f>
        <v>0</v>
      </c>
      <c r="C4" s="173">
        <f>C5/600</f>
        <v>0</v>
      </c>
      <c r="D4" s="173">
        <f>D5/600</f>
        <v>0</v>
      </c>
      <c r="E4" s="173">
        <f>E5/600</f>
        <v>0</v>
      </c>
      <c r="F4" s="173">
        <f>F5/600</f>
        <v>0</v>
      </c>
      <c r="G4" s="177">
        <v>0</v>
      </c>
      <c r="H4" s="177">
        <v>0</v>
      </c>
      <c r="I4" s="177">
        <v>0</v>
      </c>
      <c r="J4" s="177">
        <v>0</v>
      </c>
      <c r="K4" s="177">
        <v>0</v>
      </c>
      <c r="L4" s="177">
        <v>0</v>
      </c>
      <c r="M4" s="177">
        <v>0</v>
      </c>
      <c r="N4" s="75"/>
    </row>
    <row r="5" spans="1:14" ht="15">
      <c r="A5" s="169" t="s">
        <v>284</v>
      </c>
      <c r="B5" s="173">
        <v>0</v>
      </c>
      <c r="C5" s="173">
        <v>0</v>
      </c>
      <c r="D5" s="173">
        <v>0</v>
      </c>
      <c r="E5" s="173">
        <v>0</v>
      </c>
      <c r="F5" s="173">
        <v>0</v>
      </c>
      <c r="G5" s="173">
        <v>0</v>
      </c>
      <c r="H5" s="173">
        <v>0</v>
      </c>
      <c r="I5" s="173">
        <v>0</v>
      </c>
      <c r="J5" s="173">
        <v>0</v>
      </c>
      <c r="K5" s="173">
        <v>0</v>
      </c>
      <c r="L5" s="173">
        <v>0</v>
      </c>
      <c r="M5" s="173">
        <v>0</v>
      </c>
      <c r="N5" s="127">
        <f>SUM(B5:M5)</f>
        <v>0</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5" ht="15">
      <c r="A7" s="169" t="s">
        <v>55</v>
      </c>
      <c r="B7" s="21">
        <f>B5*$D$3</f>
        <v>0</v>
      </c>
      <c r="C7" s="21">
        <f aca="true" t="shared" si="0" ref="C7:M7">C5*$D$3</f>
        <v>0</v>
      </c>
      <c r="D7" s="21">
        <f t="shared" si="0"/>
        <v>0</v>
      </c>
      <c r="E7" s="21">
        <f t="shared" si="0"/>
        <v>0</v>
      </c>
      <c r="F7" s="21">
        <f t="shared" si="0"/>
        <v>0</v>
      </c>
      <c r="G7" s="21">
        <f t="shared" si="0"/>
        <v>0</v>
      </c>
      <c r="H7" s="21">
        <f t="shared" si="0"/>
        <v>0</v>
      </c>
      <c r="I7" s="21">
        <f t="shared" si="0"/>
        <v>0</v>
      </c>
      <c r="J7" s="21">
        <f t="shared" si="0"/>
        <v>0</v>
      </c>
      <c r="K7" s="21">
        <f t="shared" si="0"/>
        <v>0</v>
      </c>
      <c r="L7" s="21">
        <f t="shared" si="0"/>
        <v>0</v>
      </c>
      <c r="M7" s="21">
        <f t="shared" si="0"/>
        <v>0</v>
      </c>
      <c r="N7" s="58">
        <f>SUM(B7:M7)</f>
        <v>0</v>
      </c>
      <c r="O7" s="2"/>
    </row>
    <row r="8" spans="1:14" ht="15">
      <c r="A8" s="133"/>
      <c r="B8" s="124"/>
      <c r="C8" s="124"/>
      <c r="D8" s="124"/>
      <c r="E8" s="124"/>
      <c r="F8" s="124"/>
      <c r="G8" s="124"/>
      <c r="H8" s="124"/>
      <c r="I8" s="124"/>
      <c r="J8" s="124"/>
      <c r="K8" s="124"/>
      <c r="L8" s="124"/>
      <c r="M8" s="124"/>
      <c r="N8" s="128"/>
    </row>
    <row r="9" spans="1:14" ht="15">
      <c r="A9" s="169" t="s">
        <v>56</v>
      </c>
      <c r="B9" s="21">
        <f>B5*$B$3</f>
        <v>0</v>
      </c>
      <c r="C9" s="21">
        <f aca="true" t="shared" si="1" ref="C9:M9">C5*$B$3</f>
        <v>0</v>
      </c>
      <c r="D9" s="21">
        <f t="shared" si="1"/>
        <v>0</v>
      </c>
      <c r="E9" s="21">
        <f t="shared" si="1"/>
        <v>0</v>
      </c>
      <c r="F9" s="21">
        <f t="shared" si="1"/>
        <v>0</v>
      </c>
      <c r="G9" s="21">
        <f t="shared" si="1"/>
        <v>0</v>
      </c>
      <c r="H9" s="21">
        <f t="shared" si="1"/>
        <v>0</v>
      </c>
      <c r="I9" s="21">
        <f t="shared" si="1"/>
        <v>0</v>
      </c>
      <c r="J9" s="21">
        <f t="shared" si="1"/>
        <v>0</v>
      </c>
      <c r="K9" s="21">
        <f t="shared" si="1"/>
        <v>0</v>
      </c>
      <c r="L9" s="21">
        <f t="shared" si="1"/>
        <v>0</v>
      </c>
      <c r="M9" s="21">
        <f t="shared" si="1"/>
        <v>0</v>
      </c>
      <c r="N9" s="58">
        <f>SUM(B9:M9)</f>
        <v>0</v>
      </c>
    </row>
    <row r="10" spans="1:14" ht="15">
      <c r="A10" s="169" t="s">
        <v>215</v>
      </c>
      <c r="B10" s="175">
        <v>25000</v>
      </c>
      <c r="C10" s="175"/>
      <c r="D10" s="175"/>
      <c r="E10" s="175"/>
      <c r="F10" s="175"/>
      <c r="G10" s="175"/>
      <c r="H10" s="175"/>
      <c r="I10" s="175"/>
      <c r="J10" s="175"/>
      <c r="K10" s="175"/>
      <c r="L10" s="175"/>
      <c r="M10" s="175"/>
      <c r="N10" s="58">
        <f>SUM(B10:M10)</f>
        <v>25000</v>
      </c>
    </row>
    <row r="11" spans="1:14" ht="15">
      <c r="A11" s="169" t="s">
        <v>194</v>
      </c>
      <c r="B11" s="175">
        <v>0</v>
      </c>
      <c r="C11" s="175">
        <v>0</v>
      </c>
      <c r="D11" s="175">
        <v>0</v>
      </c>
      <c r="E11" s="175">
        <v>0</v>
      </c>
      <c r="F11" s="175">
        <v>0</v>
      </c>
      <c r="G11" s="175">
        <v>0</v>
      </c>
      <c r="H11" s="175">
        <v>0</v>
      </c>
      <c r="I11" s="175">
        <v>0</v>
      </c>
      <c r="J11" s="175">
        <v>0</v>
      </c>
      <c r="K11" s="175">
        <v>0</v>
      </c>
      <c r="L11" s="175">
        <v>0</v>
      </c>
      <c r="M11" s="175">
        <v>0</v>
      </c>
      <c r="N11" s="58">
        <f>SUM(B11:M11)</f>
        <v>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3000</v>
      </c>
      <c r="G13" s="175">
        <v>3000</v>
      </c>
      <c r="H13" s="175">
        <v>3000</v>
      </c>
      <c r="I13" s="175">
        <v>3000</v>
      </c>
      <c r="J13" s="175">
        <v>3000</v>
      </c>
      <c r="K13" s="175">
        <v>3000</v>
      </c>
      <c r="L13" s="175">
        <v>3000</v>
      </c>
      <c r="M13" s="175">
        <v>3000</v>
      </c>
      <c r="N13" s="58">
        <f>SUM(B13:M13)</f>
        <v>36000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aca="true" t="shared" si="2" ref="N14:N32">SUM(B14:M14)</f>
        <v>0</v>
      </c>
    </row>
    <row r="15" spans="1:14" ht="15">
      <c r="A15" s="169" t="s">
        <v>198</v>
      </c>
      <c r="B15" s="175">
        <v>0</v>
      </c>
      <c r="C15" s="175">
        <v>0</v>
      </c>
      <c r="D15" s="175">
        <v>0</v>
      </c>
      <c r="E15" s="175">
        <v>0</v>
      </c>
      <c r="F15" s="175">
        <v>0</v>
      </c>
      <c r="G15" s="175">
        <v>0</v>
      </c>
      <c r="H15" s="175">
        <v>0</v>
      </c>
      <c r="I15" s="175">
        <v>0</v>
      </c>
      <c r="J15" s="175">
        <v>0</v>
      </c>
      <c r="K15" s="175">
        <v>0</v>
      </c>
      <c r="L15" s="175">
        <v>0</v>
      </c>
      <c r="M15" s="175">
        <v>0</v>
      </c>
      <c r="N15" s="58">
        <f t="shared" si="2"/>
        <v>0</v>
      </c>
    </row>
    <row r="16" spans="1:14" ht="15">
      <c r="A16" s="169" t="s">
        <v>199</v>
      </c>
      <c r="B16" s="175">
        <v>0</v>
      </c>
      <c r="C16" s="175">
        <v>0</v>
      </c>
      <c r="D16" s="175">
        <v>0</v>
      </c>
      <c r="E16" s="175">
        <v>0</v>
      </c>
      <c r="F16" s="175">
        <v>0</v>
      </c>
      <c r="G16" s="175">
        <v>0</v>
      </c>
      <c r="H16" s="175">
        <v>0</v>
      </c>
      <c r="I16" s="175">
        <v>0</v>
      </c>
      <c r="J16" s="175">
        <v>0</v>
      </c>
      <c r="K16" s="175">
        <v>0</v>
      </c>
      <c r="L16" s="175">
        <v>0</v>
      </c>
      <c r="M16" s="175">
        <v>0</v>
      </c>
      <c r="N16" s="58">
        <f t="shared" si="2"/>
        <v>0</v>
      </c>
    </row>
    <row r="17" spans="1:14" ht="15">
      <c r="A17" s="169" t="s">
        <v>200</v>
      </c>
      <c r="B17" s="175">
        <v>0</v>
      </c>
      <c r="C17" s="175">
        <v>0</v>
      </c>
      <c r="D17" s="175">
        <v>0</v>
      </c>
      <c r="E17" s="175">
        <v>0</v>
      </c>
      <c r="F17" s="175">
        <v>0</v>
      </c>
      <c r="G17" s="175">
        <v>0</v>
      </c>
      <c r="H17" s="175">
        <v>0</v>
      </c>
      <c r="I17" s="175">
        <v>0</v>
      </c>
      <c r="J17" s="175">
        <v>0</v>
      </c>
      <c r="K17" s="175">
        <v>0</v>
      </c>
      <c r="L17" s="175">
        <v>0</v>
      </c>
      <c r="M17" s="175">
        <v>0</v>
      </c>
      <c r="N17" s="58">
        <f t="shared" si="2"/>
        <v>0</v>
      </c>
    </row>
    <row r="18" spans="1:14" ht="15">
      <c r="A18" s="169" t="s">
        <v>201</v>
      </c>
      <c r="B18" s="175">
        <v>0</v>
      </c>
      <c r="C18" s="175">
        <v>0</v>
      </c>
      <c r="D18" s="175">
        <v>0</v>
      </c>
      <c r="E18" s="175">
        <v>0</v>
      </c>
      <c r="F18" s="175">
        <v>0</v>
      </c>
      <c r="G18" s="175">
        <v>0</v>
      </c>
      <c r="H18" s="175">
        <v>0</v>
      </c>
      <c r="I18" s="175">
        <v>0</v>
      </c>
      <c r="J18" s="175">
        <v>0</v>
      </c>
      <c r="K18" s="175">
        <v>0</v>
      </c>
      <c r="L18" s="175">
        <v>0</v>
      </c>
      <c r="M18" s="175">
        <v>0</v>
      </c>
      <c r="N18" s="58">
        <f t="shared" si="2"/>
        <v>0</v>
      </c>
    </row>
    <row r="19" spans="1:14" ht="15">
      <c r="A19" s="169" t="s">
        <v>203</v>
      </c>
      <c r="B19" s="175">
        <v>0</v>
      </c>
      <c r="C19" s="175">
        <v>0</v>
      </c>
      <c r="D19" s="175">
        <v>0</v>
      </c>
      <c r="E19" s="175">
        <v>0</v>
      </c>
      <c r="F19" s="175">
        <v>0</v>
      </c>
      <c r="G19" s="175">
        <v>0</v>
      </c>
      <c r="H19" s="175">
        <v>0</v>
      </c>
      <c r="I19" s="175">
        <v>0</v>
      </c>
      <c r="J19" s="175">
        <v>0</v>
      </c>
      <c r="K19" s="175">
        <v>0</v>
      </c>
      <c r="L19" s="175">
        <v>0</v>
      </c>
      <c r="M19" s="175">
        <v>0</v>
      </c>
      <c r="N19" s="58">
        <f>SUM(B19:M19)</f>
        <v>0</v>
      </c>
    </row>
    <row r="20" spans="1:14" ht="15">
      <c r="A20" s="169" t="s">
        <v>202</v>
      </c>
      <c r="B20" s="175">
        <v>0</v>
      </c>
      <c r="C20" s="175">
        <v>0</v>
      </c>
      <c r="D20" s="175">
        <v>0</v>
      </c>
      <c r="E20" s="175">
        <v>0</v>
      </c>
      <c r="F20" s="175">
        <v>0</v>
      </c>
      <c r="G20" s="175">
        <v>0</v>
      </c>
      <c r="H20" s="175">
        <v>0</v>
      </c>
      <c r="I20" s="175">
        <v>0</v>
      </c>
      <c r="J20" s="175">
        <v>0</v>
      </c>
      <c r="K20" s="175">
        <v>0</v>
      </c>
      <c r="L20" s="175">
        <v>0</v>
      </c>
      <c r="M20" s="175">
        <v>0</v>
      </c>
      <c r="N20" s="58">
        <f>SUM(B20:M20)</f>
        <v>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2750</v>
      </c>
      <c r="C22" s="175">
        <v>2750</v>
      </c>
      <c r="D22" s="175">
        <v>2750</v>
      </c>
      <c r="E22" s="175">
        <v>2750</v>
      </c>
      <c r="F22" s="175">
        <v>2750</v>
      </c>
      <c r="G22" s="175">
        <v>2750</v>
      </c>
      <c r="H22" s="175">
        <v>2750</v>
      </c>
      <c r="I22" s="175">
        <v>2750</v>
      </c>
      <c r="J22" s="175">
        <v>2750</v>
      </c>
      <c r="K22" s="175">
        <v>2750</v>
      </c>
      <c r="L22" s="175">
        <v>2750</v>
      </c>
      <c r="M22" s="175">
        <v>2750</v>
      </c>
      <c r="N22" s="58">
        <f>SUM(B22:M22)</f>
        <v>33000</v>
      </c>
    </row>
    <row r="23" spans="1:14" ht="15">
      <c r="A23" s="169" t="s">
        <v>43</v>
      </c>
      <c r="B23" s="175">
        <v>0</v>
      </c>
      <c r="C23" s="175">
        <v>0</v>
      </c>
      <c r="D23" s="175">
        <v>0</v>
      </c>
      <c r="E23" s="175">
        <v>0</v>
      </c>
      <c r="F23" s="175">
        <v>0</v>
      </c>
      <c r="G23" s="175">
        <v>0</v>
      </c>
      <c r="H23" s="175">
        <v>0</v>
      </c>
      <c r="I23" s="175">
        <v>0</v>
      </c>
      <c r="J23" s="175">
        <v>0</v>
      </c>
      <c r="K23" s="175">
        <v>0</v>
      </c>
      <c r="L23" s="175">
        <v>0</v>
      </c>
      <c r="M23" s="175">
        <v>0</v>
      </c>
      <c r="N23" s="58">
        <f t="shared" si="2"/>
        <v>0</v>
      </c>
    </row>
    <row r="24" spans="1:14" ht="15">
      <c r="A24" s="169" t="s">
        <v>62</v>
      </c>
      <c r="B24" s="175">
        <v>0</v>
      </c>
      <c r="C24" s="175">
        <v>0</v>
      </c>
      <c r="D24" s="175">
        <v>0</v>
      </c>
      <c r="E24" s="175">
        <v>0</v>
      </c>
      <c r="F24" s="175">
        <v>0</v>
      </c>
      <c r="G24" s="175">
        <v>0</v>
      </c>
      <c r="H24" s="175">
        <v>0</v>
      </c>
      <c r="I24" s="175">
        <v>0</v>
      </c>
      <c r="J24" s="175">
        <v>0</v>
      </c>
      <c r="K24" s="175">
        <v>0</v>
      </c>
      <c r="L24" s="175">
        <v>0</v>
      </c>
      <c r="M24" s="175">
        <v>0</v>
      </c>
      <c r="N24" s="58">
        <f t="shared" si="2"/>
        <v>0</v>
      </c>
    </row>
    <row r="25" spans="1:14" ht="15">
      <c r="A25" s="169" t="s">
        <v>96</v>
      </c>
      <c r="B25" s="175">
        <v>3500</v>
      </c>
      <c r="C25" s="175">
        <v>3500</v>
      </c>
      <c r="D25" s="175">
        <v>3500</v>
      </c>
      <c r="E25" s="175">
        <v>3500</v>
      </c>
      <c r="F25" s="175">
        <v>3500</v>
      </c>
      <c r="G25" s="175">
        <v>3500</v>
      </c>
      <c r="H25" s="175">
        <v>3500</v>
      </c>
      <c r="I25" s="175">
        <v>3500</v>
      </c>
      <c r="J25" s="175">
        <v>3500</v>
      </c>
      <c r="K25" s="175">
        <v>3500</v>
      </c>
      <c r="L25" s="175">
        <v>3500</v>
      </c>
      <c r="M25" s="175">
        <v>3500</v>
      </c>
      <c r="N25" s="58">
        <f t="shared" si="2"/>
        <v>42000</v>
      </c>
    </row>
    <row r="26" spans="1:14" ht="15">
      <c r="A26" s="169" t="s">
        <v>45</v>
      </c>
      <c r="B26" s="175">
        <v>500</v>
      </c>
      <c r="C26" s="175">
        <v>500</v>
      </c>
      <c r="D26" s="175">
        <v>500</v>
      </c>
      <c r="E26" s="175">
        <v>500</v>
      </c>
      <c r="F26" s="175">
        <v>500</v>
      </c>
      <c r="G26" s="175">
        <v>500</v>
      </c>
      <c r="H26" s="175">
        <v>500</v>
      </c>
      <c r="I26" s="175">
        <v>500</v>
      </c>
      <c r="J26" s="175">
        <v>500</v>
      </c>
      <c r="K26" s="175">
        <v>500</v>
      </c>
      <c r="L26" s="175">
        <v>500</v>
      </c>
      <c r="M26" s="175">
        <v>500</v>
      </c>
      <c r="N26" s="58">
        <f t="shared" si="2"/>
        <v>6000</v>
      </c>
    </row>
    <row r="27" spans="1:14" ht="15">
      <c r="A27" s="169" t="s">
        <v>46</v>
      </c>
      <c r="B27" s="175">
        <v>250</v>
      </c>
      <c r="C27" s="175">
        <v>250</v>
      </c>
      <c r="D27" s="175">
        <v>250</v>
      </c>
      <c r="E27" s="175">
        <v>250</v>
      </c>
      <c r="F27" s="175">
        <v>250</v>
      </c>
      <c r="G27" s="175">
        <v>250</v>
      </c>
      <c r="H27" s="175">
        <v>250</v>
      </c>
      <c r="I27" s="175">
        <v>250</v>
      </c>
      <c r="J27" s="175">
        <v>250</v>
      </c>
      <c r="K27" s="175">
        <v>250</v>
      </c>
      <c r="L27" s="175">
        <v>250</v>
      </c>
      <c r="M27" s="175">
        <v>250</v>
      </c>
      <c r="N27" s="58">
        <f t="shared" si="2"/>
        <v>3000</v>
      </c>
    </row>
    <row r="28" spans="1:14" ht="15">
      <c r="A28" s="169" t="s">
        <v>48</v>
      </c>
      <c r="B28" s="175">
        <v>1500</v>
      </c>
      <c r="C28" s="175">
        <v>1500</v>
      </c>
      <c r="D28" s="175">
        <v>1500</v>
      </c>
      <c r="E28" s="175">
        <v>1500</v>
      </c>
      <c r="F28" s="175">
        <v>1500</v>
      </c>
      <c r="G28" s="175">
        <v>1500</v>
      </c>
      <c r="H28" s="175">
        <v>1500</v>
      </c>
      <c r="I28" s="175">
        <v>1500</v>
      </c>
      <c r="J28" s="175">
        <v>1500</v>
      </c>
      <c r="K28" s="175">
        <v>1500</v>
      </c>
      <c r="L28" s="175">
        <v>1500</v>
      </c>
      <c r="M28" s="175">
        <v>1500</v>
      </c>
      <c r="N28" s="58">
        <f t="shared" si="2"/>
        <v>18000</v>
      </c>
    </row>
    <row r="29" spans="1:14" ht="15">
      <c r="A29" s="169" t="s">
        <v>50</v>
      </c>
      <c r="B29" s="175">
        <v>0</v>
      </c>
      <c r="C29" s="175">
        <v>0</v>
      </c>
      <c r="D29" s="175">
        <v>0</v>
      </c>
      <c r="E29" s="175">
        <v>0</v>
      </c>
      <c r="F29" s="175">
        <v>0</v>
      </c>
      <c r="G29" s="175">
        <v>0</v>
      </c>
      <c r="H29" s="175">
        <v>0</v>
      </c>
      <c r="I29" s="175">
        <v>0</v>
      </c>
      <c r="J29" s="175">
        <v>0</v>
      </c>
      <c r="K29" s="175">
        <v>0</v>
      </c>
      <c r="L29" s="175">
        <v>0</v>
      </c>
      <c r="M29" s="175">
        <v>0</v>
      </c>
      <c r="N29" s="58">
        <f t="shared" si="2"/>
        <v>0</v>
      </c>
    </row>
    <row r="30" spans="1:14" ht="15">
      <c r="A30" s="169" t="s">
        <v>204</v>
      </c>
      <c r="B30" s="175">
        <v>0</v>
      </c>
      <c r="C30" s="175">
        <v>0</v>
      </c>
      <c r="D30" s="175">
        <v>0</v>
      </c>
      <c r="E30" s="175">
        <v>0</v>
      </c>
      <c r="F30" s="175">
        <v>0</v>
      </c>
      <c r="G30" s="175">
        <v>0</v>
      </c>
      <c r="H30" s="175">
        <v>0</v>
      </c>
      <c r="I30" s="175">
        <v>0</v>
      </c>
      <c r="J30" s="175">
        <v>0</v>
      </c>
      <c r="K30" s="175">
        <v>0</v>
      </c>
      <c r="L30" s="175">
        <v>0</v>
      </c>
      <c r="M30" s="175">
        <v>0</v>
      </c>
      <c r="N30" s="58">
        <f t="shared" si="2"/>
        <v>0</v>
      </c>
    </row>
    <row r="31" spans="1:14" ht="15">
      <c r="A31" s="169" t="s">
        <v>214</v>
      </c>
      <c r="B31" s="175">
        <v>0</v>
      </c>
      <c r="C31" s="175">
        <v>0</v>
      </c>
      <c r="D31" s="175">
        <v>0</v>
      </c>
      <c r="E31" s="175">
        <v>0</v>
      </c>
      <c r="F31" s="175">
        <v>0</v>
      </c>
      <c r="G31" s="175">
        <v>0</v>
      </c>
      <c r="H31" s="175">
        <v>0</v>
      </c>
      <c r="I31" s="175">
        <v>0</v>
      </c>
      <c r="J31" s="175">
        <v>0</v>
      </c>
      <c r="K31" s="175">
        <v>0</v>
      </c>
      <c r="L31" s="175">
        <v>0</v>
      </c>
      <c r="M31" s="175">
        <v>0</v>
      </c>
      <c r="N31" s="58">
        <f t="shared" si="2"/>
        <v>0</v>
      </c>
    </row>
    <row r="32" spans="1:14" ht="15">
      <c r="A32" s="170" t="s">
        <v>59</v>
      </c>
      <c r="B32" s="176">
        <v>0</v>
      </c>
      <c r="C32" s="176">
        <v>0</v>
      </c>
      <c r="D32" s="176">
        <v>0</v>
      </c>
      <c r="E32" s="176">
        <v>0</v>
      </c>
      <c r="F32" s="176">
        <v>0</v>
      </c>
      <c r="G32" s="176">
        <v>0</v>
      </c>
      <c r="H32" s="176">
        <v>0</v>
      </c>
      <c r="I32" s="176">
        <v>0</v>
      </c>
      <c r="J32" s="176">
        <v>0</v>
      </c>
      <c r="K32" s="176">
        <v>0</v>
      </c>
      <c r="L32" s="176">
        <v>0</v>
      </c>
      <c r="M32" s="176">
        <v>0</v>
      </c>
      <c r="N32" s="58">
        <f t="shared" si="2"/>
        <v>0</v>
      </c>
    </row>
    <row r="33" spans="1:14" ht="15.75" thickBot="1">
      <c r="A33" s="170" t="s">
        <v>58</v>
      </c>
      <c r="B33" s="176">
        <v>0</v>
      </c>
      <c r="C33" s="176">
        <v>0</v>
      </c>
      <c r="D33" s="176">
        <v>0</v>
      </c>
      <c r="E33" s="176">
        <v>0</v>
      </c>
      <c r="F33" s="176">
        <v>0</v>
      </c>
      <c r="G33" s="176">
        <v>0</v>
      </c>
      <c r="H33" s="176">
        <v>0</v>
      </c>
      <c r="I33" s="176">
        <v>0</v>
      </c>
      <c r="J33" s="176">
        <v>0</v>
      </c>
      <c r="K33" s="176">
        <v>0</v>
      </c>
      <c r="L33" s="176">
        <v>0</v>
      </c>
      <c r="M33" s="176">
        <v>0</v>
      </c>
      <c r="N33" s="35">
        <f>SUM(B33:M33)</f>
        <v>0</v>
      </c>
    </row>
    <row r="34" spans="1:14" ht="15.75" thickBot="1">
      <c r="A34" s="171" t="s">
        <v>94</v>
      </c>
      <c r="B34" s="22">
        <f aca="true" t="shared" si="3" ref="B34:M34">B7-SUM(B9:B33)</f>
        <v>-47500</v>
      </c>
      <c r="C34" s="22">
        <f t="shared" si="3"/>
        <v>-22500</v>
      </c>
      <c r="D34" s="22">
        <f t="shared" si="3"/>
        <v>-22500</v>
      </c>
      <c r="E34" s="22">
        <f t="shared" si="3"/>
        <v>-22500</v>
      </c>
      <c r="F34" s="22">
        <f t="shared" si="3"/>
        <v>-22500</v>
      </c>
      <c r="G34" s="22">
        <f t="shared" si="3"/>
        <v>-22500</v>
      </c>
      <c r="H34" s="22">
        <f t="shared" si="3"/>
        <v>-22500</v>
      </c>
      <c r="I34" s="22">
        <f t="shared" si="3"/>
        <v>-22500</v>
      </c>
      <c r="J34" s="22">
        <f t="shared" si="3"/>
        <v>-22500</v>
      </c>
      <c r="K34" s="22">
        <f t="shared" si="3"/>
        <v>-22500</v>
      </c>
      <c r="L34" s="22">
        <f t="shared" si="3"/>
        <v>-22500</v>
      </c>
      <c r="M34" s="22">
        <f t="shared" si="3"/>
        <v>-22500</v>
      </c>
      <c r="N34" s="23">
        <f>SUM(B34:M34)</f>
        <v>-295000</v>
      </c>
    </row>
    <row r="37" spans="1:14" ht="15">
      <c r="A37" s="247" t="s">
        <v>291</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
      <selection activeCell="A2" sqref="A2"/>
    </sheetView>
  </sheetViews>
  <sheetFormatPr defaultColWidth="9.140625" defaultRowHeight="15"/>
  <cols>
    <col min="1" max="1" width="27.421875" style="0" customWidth="1"/>
    <col min="2" max="10" width="13.421875" style="0" bestFit="1" customWidth="1"/>
    <col min="11" max="12" width="12.57421875" style="0" bestFit="1" customWidth="1"/>
    <col min="13" max="13" width="14.28125" style="0" bestFit="1" customWidth="1"/>
    <col min="14" max="14" width="15.00390625" style="0" bestFit="1" customWidth="1"/>
    <col min="15" max="15" width="12.5742187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3">
        <f>B5/600</f>
        <v>0</v>
      </c>
      <c r="C4" s="173">
        <f>C5/600</f>
        <v>0</v>
      </c>
      <c r="D4" s="173">
        <f>D5/600</f>
        <v>0</v>
      </c>
      <c r="E4" s="173">
        <f>E5/600</f>
        <v>0</v>
      </c>
      <c r="F4" s="173">
        <f>F5/600</f>
        <v>0</v>
      </c>
      <c r="G4" s="177">
        <f>INT(G5/Calcs!$B$21)+1</f>
        <v>1</v>
      </c>
      <c r="H4" s="177">
        <f>INT(H5/Calcs!$B$21)+1</f>
        <v>1</v>
      </c>
      <c r="I4" s="177">
        <f>INT(I5/Calcs!$B$21)+1</f>
        <v>1</v>
      </c>
      <c r="J4" s="177">
        <f>INT(J5/Calcs!$B$21)+1</f>
        <v>1</v>
      </c>
      <c r="K4" s="177">
        <f>INT(K5/Calcs!$B$21)+1</f>
        <v>1</v>
      </c>
      <c r="L4" s="177">
        <f>INT(L5/Calcs!$B$21)+1</f>
        <v>1</v>
      </c>
      <c r="M4" s="177">
        <f>INT(M5/Calcs!$B$21)+1</f>
        <v>1</v>
      </c>
      <c r="N4" s="75"/>
    </row>
    <row r="5" spans="1:14" ht="15">
      <c r="A5" s="169" t="s">
        <v>284</v>
      </c>
      <c r="B5" s="173">
        <v>0</v>
      </c>
      <c r="C5" s="173">
        <v>0</v>
      </c>
      <c r="D5" s="173">
        <v>0</v>
      </c>
      <c r="E5" s="173">
        <v>0</v>
      </c>
      <c r="F5" s="173">
        <v>0</v>
      </c>
      <c r="G5" s="173">
        <v>100</v>
      </c>
      <c r="H5" s="173">
        <v>200</v>
      </c>
      <c r="I5" s="173">
        <v>400</v>
      </c>
      <c r="J5" s="173">
        <v>800</v>
      </c>
      <c r="K5" s="173">
        <f>J5*1.15</f>
        <v>919.9999999999999</v>
      </c>
      <c r="L5" s="173">
        <f>K5*1.15</f>
        <v>1057.9999999999998</v>
      </c>
      <c r="M5" s="173">
        <f>L5*1.15</f>
        <v>1216.6999999999996</v>
      </c>
      <c r="N5" s="127">
        <f>SUM(B5:M5)</f>
        <v>4694.7</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5" ht="15">
      <c r="A7" s="169" t="s">
        <v>55</v>
      </c>
      <c r="B7" s="21">
        <f>B5*$D$3</f>
        <v>0</v>
      </c>
      <c r="C7" s="21">
        <f aca="true" t="shared" si="0" ref="C7:M7">C5*$D$3</f>
        <v>0</v>
      </c>
      <c r="D7" s="21">
        <f t="shared" si="0"/>
        <v>0</v>
      </c>
      <c r="E7" s="21">
        <f t="shared" si="0"/>
        <v>0</v>
      </c>
      <c r="F7" s="21">
        <f t="shared" si="0"/>
        <v>0</v>
      </c>
      <c r="G7" s="21">
        <f t="shared" si="0"/>
        <v>19800</v>
      </c>
      <c r="H7" s="21">
        <f t="shared" si="0"/>
        <v>39600</v>
      </c>
      <c r="I7" s="21">
        <f t="shared" si="0"/>
        <v>79200</v>
      </c>
      <c r="J7" s="21">
        <f t="shared" si="0"/>
        <v>158400</v>
      </c>
      <c r="K7" s="21">
        <f t="shared" si="0"/>
        <v>182159.99999999997</v>
      </c>
      <c r="L7" s="21">
        <f t="shared" si="0"/>
        <v>209483.99999999994</v>
      </c>
      <c r="M7" s="21">
        <f t="shared" si="0"/>
        <v>240906.59999999992</v>
      </c>
      <c r="N7" s="58">
        <f>SUM(B7:M7)</f>
        <v>929550.5999999999</v>
      </c>
      <c r="O7" s="2"/>
    </row>
    <row r="8" spans="1:14" ht="15">
      <c r="A8" s="133"/>
      <c r="B8" s="124"/>
      <c r="C8" s="124"/>
      <c r="D8" s="124"/>
      <c r="E8" s="124"/>
      <c r="F8" s="124"/>
      <c r="G8" s="124"/>
      <c r="H8" s="124"/>
      <c r="I8" s="124"/>
      <c r="J8" s="124"/>
      <c r="K8" s="124"/>
      <c r="L8" s="124"/>
      <c r="M8" s="124"/>
      <c r="N8" s="128"/>
    </row>
    <row r="9" spans="1:14" ht="15">
      <c r="A9" s="169" t="s">
        <v>56</v>
      </c>
      <c r="B9" s="21">
        <f>B5*$B$3</f>
        <v>0</v>
      </c>
      <c r="C9" s="21">
        <f aca="true" t="shared" si="1" ref="C9:M9">C5*$B$3</f>
        <v>0</v>
      </c>
      <c r="D9" s="21">
        <f t="shared" si="1"/>
        <v>0</v>
      </c>
      <c r="E9" s="21">
        <f t="shared" si="1"/>
        <v>0</v>
      </c>
      <c r="F9" s="21">
        <f t="shared" si="1"/>
        <v>0</v>
      </c>
      <c r="G9" s="21">
        <f t="shared" si="1"/>
        <v>13800</v>
      </c>
      <c r="H9" s="21">
        <f t="shared" si="1"/>
        <v>27600</v>
      </c>
      <c r="I9" s="21">
        <f t="shared" si="1"/>
        <v>55200</v>
      </c>
      <c r="J9" s="21">
        <f t="shared" si="1"/>
        <v>110400</v>
      </c>
      <c r="K9" s="21">
        <f t="shared" si="1"/>
        <v>126959.99999999999</v>
      </c>
      <c r="L9" s="21">
        <f t="shared" si="1"/>
        <v>146003.99999999997</v>
      </c>
      <c r="M9" s="21">
        <f t="shared" si="1"/>
        <v>167904.59999999995</v>
      </c>
      <c r="N9" s="58">
        <f>SUM(B9:M9)</f>
        <v>647868.6</v>
      </c>
    </row>
    <row r="10" spans="1:14" ht="15">
      <c r="A10" s="169" t="s">
        <v>215</v>
      </c>
      <c r="B10" s="175">
        <v>0</v>
      </c>
      <c r="C10" s="175">
        <v>0</v>
      </c>
      <c r="D10" s="175">
        <v>0</v>
      </c>
      <c r="E10" s="175">
        <v>0</v>
      </c>
      <c r="F10" s="175">
        <v>0</v>
      </c>
      <c r="G10" s="175">
        <v>0</v>
      </c>
      <c r="H10" s="175">
        <v>0</v>
      </c>
      <c r="I10" s="175">
        <v>0</v>
      </c>
      <c r="J10" s="175">
        <v>0</v>
      </c>
      <c r="K10" s="175">
        <v>0</v>
      </c>
      <c r="L10" s="175">
        <v>0</v>
      </c>
      <c r="M10" s="175">
        <v>0</v>
      </c>
      <c r="N10" s="58">
        <f>SUM(B10:M10)</f>
        <v>0</v>
      </c>
    </row>
    <row r="11" spans="1:14" ht="15">
      <c r="A11" s="169" t="s">
        <v>194</v>
      </c>
      <c r="B11" s="175">
        <v>0</v>
      </c>
      <c r="C11" s="175">
        <v>200000</v>
      </c>
      <c r="D11" s="175">
        <v>0</v>
      </c>
      <c r="E11" s="175">
        <v>0</v>
      </c>
      <c r="F11" s="175">
        <v>0</v>
      </c>
      <c r="G11" s="175">
        <v>0</v>
      </c>
      <c r="H11" s="175">
        <v>0</v>
      </c>
      <c r="I11" s="175">
        <v>0</v>
      </c>
      <c r="J11" s="175">
        <v>0</v>
      </c>
      <c r="K11" s="175">
        <v>0</v>
      </c>
      <c r="L11" s="175">
        <v>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3000</v>
      </c>
      <c r="G13" s="175">
        <v>3000</v>
      </c>
      <c r="H13" s="175">
        <v>3000</v>
      </c>
      <c r="I13" s="175">
        <v>3000</v>
      </c>
      <c r="J13" s="175">
        <v>3000</v>
      </c>
      <c r="K13" s="175">
        <v>3000</v>
      </c>
      <c r="L13" s="175">
        <v>3000</v>
      </c>
      <c r="M13" s="175">
        <v>3000</v>
      </c>
      <c r="N13" s="58">
        <f>SUM(B13:M13)</f>
        <v>36000</v>
      </c>
    </row>
    <row r="14" spans="1:14" ht="15">
      <c r="A14" s="169" t="s">
        <v>285</v>
      </c>
      <c r="B14" s="175">
        <v>0</v>
      </c>
      <c r="C14" s="175">
        <v>0</v>
      </c>
      <c r="D14" s="175">
        <v>10000</v>
      </c>
      <c r="E14" s="175">
        <v>0</v>
      </c>
      <c r="F14" s="175">
        <v>0</v>
      </c>
      <c r="G14" s="175">
        <v>0</v>
      </c>
      <c r="H14" s="175">
        <v>0</v>
      </c>
      <c r="I14" s="175">
        <v>0</v>
      </c>
      <c r="J14" s="175">
        <v>0</v>
      </c>
      <c r="K14" s="175">
        <v>0</v>
      </c>
      <c r="L14" s="175">
        <v>0</v>
      </c>
      <c r="M14" s="175">
        <v>0</v>
      </c>
      <c r="N14" s="58">
        <f aca="true" t="shared" si="2" ref="N14:N32">SUM(B14:M14)</f>
        <v>10000</v>
      </c>
    </row>
    <row r="15" spans="1:14" ht="15">
      <c r="A15" s="169" t="s">
        <v>198</v>
      </c>
      <c r="B15" s="175">
        <v>0</v>
      </c>
      <c r="C15" s="175">
        <v>0</v>
      </c>
      <c r="D15" s="175">
        <v>0</v>
      </c>
      <c r="E15" s="175">
        <v>0</v>
      </c>
      <c r="F15" s="175">
        <v>4525</v>
      </c>
      <c r="G15" s="175">
        <v>4525</v>
      </c>
      <c r="H15" s="175">
        <v>4525</v>
      </c>
      <c r="I15" s="175">
        <v>4525</v>
      </c>
      <c r="J15" s="175">
        <v>4525</v>
      </c>
      <c r="K15" s="175">
        <v>4525</v>
      </c>
      <c r="L15" s="175">
        <v>4525</v>
      </c>
      <c r="M15" s="175">
        <v>4525</v>
      </c>
      <c r="N15" s="58">
        <f t="shared" si="2"/>
        <v>36200</v>
      </c>
    </row>
    <row r="16" spans="1:14" ht="15">
      <c r="A16" s="169" t="s">
        <v>199</v>
      </c>
      <c r="B16" s="175">
        <v>0</v>
      </c>
      <c r="C16" s="175">
        <v>0</v>
      </c>
      <c r="D16" s="175">
        <v>0</v>
      </c>
      <c r="E16" s="175">
        <v>0</v>
      </c>
      <c r="F16" s="175">
        <v>0</v>
      </c>
      <c r="G16" s="175">
        <v>0</v>
      </c>
      <c r="H16" s="175">
        <v>0</v>
      </c>
      <c r="I16" s="175">
        <v>0</v>
      </c>
      <c r="J16" s="175">
        <v>4525</v>
      </c>
      <c r="K16" s="175">
        <v>4525</v>
      </c>
      <c r="L16" s="175">
        <v>4525</v>
      </c>
      <c r="M16" s="175">
        <v>4525</v>
      </c>
      <c r="N16" s="58">
        <f t="shared" si="2"/>
        <v>18100</v>
      </c>
    </row>
    <row r="17" spans="1:14" ht="15">
      <c r="A17" s="169" t="s">
        <v>200</v>
      </c>
      <c r="B17" s="175">
        <v>0</v>
      </c>
      <c r="C17" s="175">
        <v>0</v>
      </c>
      <c r="D17" s="175">
        <v>0</v>
      </c>
      <c r="E17" s="175">
        <v>0</v>
      </c>
      <c r="F17" s="175">
        <v>0</v>
      </c>
      <c r="G17" s="175">
        <v>0</v>
      </c>
      <c r="H17" s="175">
        <v>0</v>
      </c>
      <c r="I17" s="175">
        <v>0</v>
      </c>
      <c r="J17" s="175">
        <v>0</v>
      </c>
      <c r="K17" s="175">
        <v>0</v>
      </c>
      <c r="L17" s="175">
        <v>0</v>
      </c>
      <c r="M17" s="175">
        <v>4525</v>
      </c>
      <c r="N17" s="58">
        <f t="shared" si="2"/>
        <v>4525</v>
      </c>
    </row>
    <row r="18" spans="1:14" ht="15">
      <c r="A18" s="169" t="s">
        <v>201</v>
      </c>
      <c r="B18" s="175">
        <v>0</v>
      </c>
      <c r="C18" s="175">
        <v>0</v>
      </c>
      <c r="D18" s="175">
        <v>0</v>
      </c>
      <c r="E18" s="175">
        <v>0</v>
      </c>
      <c r="F18" s="175">
        <v>0</v>
      </c>
      <c r="G18" s="175">
        <v>0</v>
      </c>
      <c r="H18" s="175">
        <v>0</v>
      </c>
      <c r="I18" s="175">
        <v>0</v>
      </c>
      <c r="J18" s="175">
        <v>0</v>
      </c>
      <c r="K18" s="175">
        <v>0</v>
      </c>
      <c r="L18" s="175">
        <v>0</v>
      </c>
      <c r="M18" s="175">
        <v>0</v>
      </c>
      <c r="N18" s="58">
        <f t="shared" si="2"/>
        <v>0</v>
      </c>
    </row>
    <row r="19" spans="1:14" ht="15">
      <c r="A19" s="169" t="s">
        <v>203</v>
      </c>
      <c r="B19" s="175">
        <v>0</v>
      </c>
      <c r="C19" s="175">
        <v>0</v>
      </c>
      <c r="D19" s="175">
        <v>0</v>
      </c>
      <c r="E19" s="175">
        <v>0</v>
      </c>
      <c r="F19" s="181">
        <v>4400</v>
      </c>
      <c r="G19" s="181">
        <v>4400</v>
      </c>
      <c r="H19" s="181">
        <v>4400</v>
      </c>
      <c r="I19" s="181">
        <v>4400</v>
      </c>
      <c r="J19" s="181">
        <v>8800</v>
      </c>
      <c r="K19" s="181">
        <v>8800</v>
      </c>
      <c r="L19" s="181">
        <v>8800</v>
      </c>
      <c r="M19" s="181">
        <v>8800</v>
      </c>
      <c r="N19" s="58">
        <f t="shared" si="2"/>
        <v>52800</v>
      </c>
    </row>
    <row r="20" spans="1:14" ht="15">
      <c r="A20" s="169" t="s">
        <v>202</v>
      </c>
      <c r="B20" s="175">
        <v>0</v>
      </c>
      <c r="C20" s="175">
        <v>0</v>
      </c>
      <c r="D20" s="175">
        <v>0</v>
      </c>
      <c r="E20" s="175">
        <v>0</v>
      </c>
      <c r="F20" s="175">
        <v>0</v>
      </c>
      <c r="G20" s="175">
        <v>0</v>
      </c>
      <c r="H20" s="175">
        <v>0</v>
      </c>
      <c r="I20" s="175">
        <v>0</v>
      </c>
      <c r="J20" s="175">
        <v>0</v>
      </c>
      <c r="K20" s="175">
        <v>0</v>
      </c>
      <c r="L20" s="175">
        <v>0</v>
      </c>
      <c r="M20" s="175">
        <v>4400</v>
      </c>
      <c r="N20" s="58">
        <f t="shared" si="2"/>
        <v>4400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 t="shared" si="2"/>
        <v>132000</v>
      </c>
    </row>
    <row r="22" spans="1:14" ht="15">
      <c r="A22" s="169" t="s">
        <v>67</v>
      </c>
      <c r="B22" s="175">
        <v>2750</v>
      </c>
      <c r="C22" s="175">
        <v>2750</v>
      </c>
      <c r="D22" s="175">
        <v>2750</v>
      </c>
      <c r="E22" s="175">
        <v>11000</v>
      </c>
      <c r="F22" s="175">
        <v>11000</v>
      </c>
      <c r="G22" s="175">
        <v>11000</v>
      </c>
      <c r="H22" s="175">
        <v>11000</v>
      </c>
      <c r="I22" s="175">
        <v>11000</v>
      </c>
      <c r="J22" s="175">
        <v>11000</v>
      </c>
      <c r="K22" s="175">
        <v>11000</v>
      </c>
      <c r="L22" s="175">
        <v>11000</v>
      </c>
      <c r="M22" s="175">
        <v>11000</v>
      </c>
      <c r="N22" s="58">
        <f t="shared" si="2"/>
        <v>107250</v>
      </c>
    </row>
    <row r="23" spans="1:14" ht="15">
      <c r="A23" s="169" t="s">
        <v>43</v>
      </c>
      <c r="B23" s="175">
        <v>0</v>
      </c>
      <c r="C23" s="175">
        <v>0</v>
      </c>
      <c r="D23" s="175">
        <v>0</v>
      </c>
      <c r="E23" s="175">
        <v>0</v>
      </c>
      <c r="F23" s="175">
        <v>0</v>
      </c>
      <c r="G23" s="175">
        <v>0</v>
      </c>
      <c r="H23" s="175">
        <v>0</v>
      </c>
      <c r="I23" s="175">
        <v>0</v>
      </c>
      <c r="J23" s="175">
        <v>0</v>
      </c>
      <c r="K23" s="175">
        <v>0</v>
      </c>
      <c r="L23" s="175">
        <v>0</v>
      </c>
      <c r="M23" s="175">
        <v>0</v>
      </c>
      <c r="N23" s="58">
        <f t="shared" si="2"/>
        <v>0</v>
      </c>
    </row>
    <row r="24" spans="1:14" ht="15">
      <c r="A24" s="169" t="s">
        <v>62</v>
      </c>
      <c r="B24" s="175">
        <v>0</v>
      </c>
      <c r="C24" s="175">
        <v>0</v>
      </c>
      <c r="D24" s="175">
        <v>0</v>
      </c>
      <c r="E24" s="175">
        <v>0</v>
      </c>
      <c r="F24" s="175">
        <v>2500</v>
      </c>
      <c r="G24" s="175">
        <v>2500</v>
      </c>
      <c r="H24" s="175">
        <v>2500</v>
      </c>
      <c r="I24" s="175">
        <v>2500</v>
      </c>
      <c r="J24" s="175">
        <v>2500</v>
      </c>
      <c r="K24" s="175">
        <v>2500</v>
      </c>
      <c r="L24" s="175">
        <v>2500</v>
      </c>
      <c r="M24" s="175">
        <v>2500</v>
      </c>
      <c r="N24" s="58">
        <f t="shared" si="2"/>
        <v>20000</v>
      </c>
    </row>
    <row r="25" spans="1:14" ht="15">
      <c r="A25" s="169" t="s">
        <v>96</v>
      </c>
      <c r="B25" s="175">
        <v>3500</v>
      </c>
      <c r="C25" s="175">
        <v>3500</v>
      </c>
      <c r="D25" s="175">
        <v>3500</v>
      </c>
      <c r="E25" s="175">
        <v>3500</v>
      </c>
      <c r="F25" s="175">
        <v>20000</v>
      </c>
      <c r="G25" s="175">
        <v>20000</v>
      </c>
      <c r="H25" s="175">
        <v>20000</v>
      </c>
      <c r="I25" s="175">
        <v>20000</v>
      </c>
      <c r="J25" s="175">
        <v>20000</v>
      </c>
      <c r="K25" s="175">
        <v>20000</v>
      </c>
      <c r="L25" s="175">
        <v>20000</v>
      </c>
      <c r="M25" s="175">
        <v>20000</v>
      </c>
      <c r="N25" s="58">
        <f t="shared" si="2"/>
        <v>174000</v>
      </c>
    </row>
    <row r="26" spans="1:14" ht="15">
      <c r="A26" s="169" t="s">
        <v>45</v>
      </c>
      <c r="B26" s="175">
        <v>1000</v>
      </c>
      <c r="C26" s="175">
        <v>1000</v>
      </c>
      <c r="D26" s="175">
        <v>1000</v>
      </c>
      <c r="E26" s="175">
        <v>1000</v>
      </c>
      <c r="F26" s="175">
        <v>3000</v>
      </c>
      <c r="G26" s="175">
        <v>3000</v>
      </c>
      <c r="H26" s="175">
        <v>3000</v>
      </c>
      <c r="I26" s="175">
        <v>3000</v>
      </c>
      <c r="J26" s="175">
        <v>3000</v>
      </c>
      <c r="K26" s="175">
        <v>3000</v>
      </c>
      <c r="L26" s="175">
        <v>3000</v>
      </c>
      <c r="M26" s="175">
        <v>3000</v>
      </c>
      <c r="N26" s="58">
        <f t="shared" si="2"/>
        <v>28000</v>
      </c>
    </row>
    <row r="27" spans="1:14" ht="15">
      <c r="A27" s="169" t="s">
        <v>46</v>
      </c>
      <c r="B27" s="175">
        <v>250</v>
      </c>
      <c r="C27" s="175">
        <v>250</v>
      </c>
      <c r="D27" s="175">
        <v>250</v>
      </c>
      <c r="E27" s="175">
        <v>250</v>
      </c>
      <c r="F27" s="175">
        <v>500</v>
      </c>
      <c r="G27" s="175">
        <f>(G4*300*30*0.007469)*2+1000</f>
        <v>1134.442</v>
      </c>
      <c r="H27" s="175">
        <f aca="true" t="shared" si="3" ref="H27:M27">(H4*300*30*0.007469)*2+1000</f>
        <v>1134.442</v>
      </c>
      <c r="I27" s="175">
        <f t="shared" si="3"/>
        <v>1134.442</v>
      </c>
      <c r="J27" s="175">
        <f>(J4*300*30*0.007469)*2+1000</f>
        <v>1134.442</v>
      </c>
      <c r="K27" s="175">
        <f t="shared" si="3"/>
        <v>1134.442</v>
      </c>
      <c r="L27" s="175">
        <f t="shared" si="3"/>
        <v>1134.442</v>
      </c>
      <c r="M27" s="175">
        <f t="shared" si="3"/>
        <v>1134.442</v>
      </c>
      <c r="N27" s="58">
        <f t="shared" si="2"/>
        <v>9441.094000000001</v>
      </c>
    </row>
    <row r="28" spans="1:14" ht="15">
      <c r="A28" s="169" t="s">
        <v>48</v>
      </c>
      <c r="B28" s="175">
        <v>1500</v>
      </c>
      <c r="C28" s="175">
        <v>1500</v>
      </c>
      <c r="D28" s="175">
        <v>1500</v>
      </c>
      <c r="E28" s="175">
        <v>1500</v>
      </c>
      <c r="F28" s="175">
        <v>10000</v>
      </c>
      <c r="G28" s="175">
        <v>10000</v>
      </c>
      <c r="H28" s="175">
        <v>10000</v>
      </c>
      <c r="I28" s="175">
        <v>10000</v>
      </c>
      <c r="J28" s="175">
        <v>10000</v>
      </c>
      <c r="K28" s="175">
        <v>10000</v>
      </c>
      <c r="L28" s="175">
        <v>10000</v>
      </c>
      <c r="M28" s="175">
        <v>10000</v>
      </c>
      <c r="N28" s="58">
        <f t="shared" si="2"/>
        <v>86000</v>
      </c>
    </row>
    <row r="29" spans="1:14" ht="15">
      <c r="A29" s="169" t="s">
        <v>50</v>
      </c>
      <c r="B29" s="175">
        <v>0</v>
      </c>
      <c r="C29" s="175">
        <v>0</v>
      </c>
      <c r="D29" s="175">
        <v>0</v>
      </c>
      <c r="E29" s="175">
        <v>0</v>
      </c>
      <c r="F29" s="175">
        <v>0</v>
      </c>
      <c r="G29" s="175">
        <v>1500</v>
      </c>
      <c r="H29" s="175">
        <v>1500</v>
      </c>
      <c r="I29" s="175">
        <v>1500</v>
      </c>
      <c r="J29" s="175">
        <v>1500</v>
      </c>
      <c r="K29" s="175">
        <v>1500</v>
      </c>
      <c r="L29" s="175">
        <v>1500</v>
      </c>
      <c r="M29" s="175">
        <v>1500</v>
      </c>
      <c r="N29" s="58">
        <f t="shared" si="2"/>
        <v>10500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2"/>
        <v>20004</v>
      </c>
    </row>
    <row r="31" spans="1:14" ht="15">
      <c r="A31" s="169" t="s">
        <v>214</v>
      </c>
      <c r="B31" s="175">
        <v>0</v>
      </c>
      <c r="C31" s="175">
        <v>0</v>
      </c>
      <c r="D31" s="175">
        <v>0</v>
      </c>
      <c r="E31" s="175">
        <f>6500+2*(E5/2)</f>
        <v>6500</v>
      </c>
      <c r="F31" s="175">
        <f aca="true" t="shared" si="4" ref="F31:M31">6500+2*(F5/2)</f>
        <v>6500</v>
      </c>
      <c r="G31" s="175">
        <f t="shared" si="4"/>
        <v>6600</v>
      </c>
      <c r="H31" s="175">
        <f t="shared" si="4"/>
        <v>6700</v>
      </c>
      <c r="I31" s="175">
        <f t="shared" si="4"/>
        <v>6900</v>
      </c>
      <c r="J31" s="175">
        <f t="shared" si="4"/>
        <v>7300</v>
      </c>
      <c r="K31" s="175">
        <f t="shared" si="4"/>
        <v>7420</v>
      </c>
      <c r="L31" s="175">
        <f t="shared" si="4"/>
        <v>7558</v>
      </c>
      <c r="M31" s="175">
        <f t="shared" si="4"/>
        <v>7716.7</v>
      </c>
      <c r="N31" s="58">
        <f t="shared" si="2"/>
        <v>63194.7</v>
      </c>
    </row>
    <row r="32" spans="1:14" ht="15">
      <c r="A32" s="170" t="s">
        <v>59</v>
      </c>
      <c r="B32" s="176">
        <v>0</v>
      </c>
      <c r="C32" s="176">
        <v>0</v>
      </c>
      <c r="D32" s="176">
        <v>0</v>
      </c>
      <c r="E32" s="175">
        <f aca="true" t="shared" si="5" ref="E32:M32">3400+1*(E4/2)</f>
        <v>3400</v>
      </c>
      <c r="F32" s="175">
        <f t="shared" si="5"/>
        <v>3400</v>
      </c>
      <c r="G32" s="175">
        <f t="shared" si="5"/>
        <v>3400.5</v>
      </c>
      <c r="H32" s="175">
        <f t="shared" si="5"/>
        <v>3400.5</v>
      </c>
      <c r="I32" s="175">
        <f t="shared" si="5"/>
        <v>3400.5</v>
      </c>
      <c r="J32" s="175">
        <f t="shared" si="5"/>
        <v>3400.5</v>
      </c>
      <c r="K32" s="175">
        <f t="shared" si="5"/>
        <v>3400.5</v>
      </c>
      <c r="L32" s="175">
        <f t="shared" si="5"/>
        <v>3400.5</v>
      </c>
      <c r="M32" s="175">
        <f t="shared" si="5"/>
        <v>3400.5</v>
      </c>
      <c r="N32" s="58">
        <f t="shared" si="2"/>
        <v>30603.5</v>
      </c>
    </row>
    <row r="33" spans="1:14" ht="15.75" thickBot="1">
      <c r="A33" s="170" t="s">
        <v>58</v>
      </c>
      <c r="B33" s="176">
        <v>0</v>
      </c>
      <c r="C33" s="176">
        <v>0</v>
      </c>
      <c r="D33" s="176">
        <v>0</v>
      </c>
      <c r="E33" s="175">
        <f aca="true" t="shared" si="6" ref="E33:M33">3400+1*(E5/2)</f>
        <v>3400</v>
      </c>
      <c r="F33" s="175">
        <f t="shared" si="6"/>
        <v>3400</v>
      </c>
      <c r="G33" s="175">
        <f t="shared" si="6"/>
        <v>3450</v>
      </c>
      <c r="H33" s="175">
        <f t="shared" si="6"/>
        <v>3500</v>
      </c>
      <c r="I33" s="175">
        <f t="shared" si="6"/>
        <v>3600</v>
      </c>
      <c r="J33" s="175">
        <f t="shared" si="6"/>
        <v>3800</v>
      </c>
      <c r="K33" s="175">
        <f t="shared" si="6"/>
        <v>3860</v>
      </c>
      <c r="L33" s="175">
        <f t="shared" si="6"/>
        <v>3929</v>
      </c>
      <c r="M33" s="175">
        <f t="shared" si="6"/>
        <v>4008.35</v>
      </c>
      <c r="N33" s="35">
        <f>SUM(B33:M33)</f>
        <v>32947.35</v>
      </c>
    </row>
    <row r="34" spans="1:14" ht="15.75" thickBot="1">
      <c r="A34" s="171" t="s">
        <v>94</v>
      </c>
      <c r="B34" s="22">
        <f aca="true" t="shared" si="7" ref="B34:M34">B7-SUM(B9:B33)</f>
        <v>-24667</v>
      </c>
      <c r="C34" s="22">
        <f t="shared" si="7"/>
        <v>-224667</v>
      </c>
      <c r="D34" s="22">
        <f t="shared" si="7"/>
        <v>-34667</v>
      </c>
      <c r="E34" s="22">
        <f t="shared" si="7"/>
        <v>-46217</v>
      </c>
      <c r="F34" s="22">
        <f t="shared" si="7"/>
        <v>-84892</v>
      </c>
      <c r="G34" s="22">
        <f t="shared" si="7"/>
        <v>-81176.942</v>
      </c>
      <c r="H34" s="22">
        <f t="shared" si="7"/>
        <v>-75326.942</v>
      </c>
      <c r="I34" s="22">
        <f t="shared" si="7"/>
        <v>-63626.94199999998</v>
      </c>
      <c r="J34" s="22">
        <f t="shared" si="7"/>
        <v>-49151.94200000001</v>
      </c>
      <c r="K34" s="22">
        <f t="shared" si="7"/>
        <v>-42131.94200000004</v>
      </c>
      <c r="L34" s="22">
        <f t="shared" si="7"/>
        <v>-34058.94200000004</v>
      </c>
      <c r="M34" s="22">
        <f t="shared" si="7"/>
        <v>-33699.99200000003</v>
      </c>
      <c r="N34" s="23">
        <f>SUM(B34:M34)</f>
        <v>-794283.6440000001</v>
      </c>
    </row>
    <row r="35" ht="15">
      <c r="D35" s="2"/>
    </row>
    <row r="37" spans="1:14" ht="15">
      <c r="A37" s="247" t="s">
        <v>291</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
      <selection activeCell="A2" sqref="A2"/>
    </sheetView>
  </sheetViews>
  <sheetFormatPr defaultColWidth="9.140625" defaultRowHeight="15"/>
  <cols>
    <col min="1" max="1" width="27.7109375" style="0" customWidth="1"/>
    <col min="2" max="2" width="13.421875" style="0" bestFit="1" customWidth="1"/>
    <col min="3" max="4" width="12.57421875" style="0" bestFit="1" customWidth="1"/>
    <col min="5" max="5" width="13.421875" style="0" bestFit="1" customWidth="1"/>
    <col min="6" max="13" width="14.28125" style="0" bestFit="1" customWidth="1"/>
    <col min="14" max="14" width="15.28125" style="0" bestFit="1" customWidth="1"/>
  </cols>
  <sheetData>
    <row r="1" spans="1:14" ht="15">
      <c r="A1" s="63"/>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f>INT(B5/Calcs!$B$21)+1</f>
        <v>1</v>
      </c>
      <c r="C4" s="177">
        <f>INT(C5/Calcs!$B$21)+1</f>
        <v>1</v>
      </c>
      <c r="D4" s="177">
        <f>INT(D5/Calcs!$B$21)+1</f>
        <v>1</v>
      </c>
      <c r="E4" s="177">
        <f>INT(E5/Calcs!$B$21)+1</f>
        <v>1</v>
      </c>
      <c r="F4" s="177">
        <f>INT(F5/Calcs!$B$21)+1</f>
        <v>1</v>
      </c>
      <c r="G4" s="177">
        <v>1</v>
      </c>
      <c r="H4" s="177">
        <v>1</v>
      </c>
      <c r="I4" s="177">
        <f>INT(I5/Calcs!$B$21)+1</f>
        <v>2</v>
      </c>
      <c r="J4" s="177">
        <f>INT(J5/Calcs!$B$21)+1</f>
        <v>2</v>
      </c>
      <c r="K4" s="177">
        <f>INT(K5/Calcs!$B$21)+1</f>
        <v>2</v>
      </c>
      <c r="L4" s="177">
        <f>INT(L5/Calcs!$B$21)+1</f>
        <v>2</v>
      </c>
      <c r="M4" s="177">
        <f>INT(M5/Calcs!$B$21)+1</f>
        <v>2</v>
      </c>
      <c r="N4" s="75"/>
    </row>
    <row r="5" spans="1:14" ht="15">
      <c r="A5" s="169" t="s">
        <v>284</v>
      </c>
      <c r="B5" s="173">
        <f>'FY 1 Most Likely'!M5*1.1</f>
        <v>1338.3699999999997</v>
      </c>
      <c r="C5" s="173">
        <f>B5*1.1</f>
        <v>1472.2069999999997</v>
      </c>
      <c r="D5" s="173">
        <f aca="true" t="shared" si="0" ref="D5:M5">C5*1.1</f>
        <v>1619.4276999999997</v>
      </c>
      <c r="E5" s="173">
        <f t="shared" si="0"/>
        <v>1781.3704699999998</v>
      </c>
      <c r="F5" s="173">
        <f t="shared" si="0"/>
        <v>1959.507517</v>
      </c>
      <c r="G5" s="173">
        <f t="shared" si="0"/>
        <v>2155.4582687</v>
      </c>
      <c r="H5" s="173">
        <f t="shared" si="0"/>
        <v>2371.0040955700006</v>
      </c>
      <c r="I5" s="173">
        <f t="shared" si="0"/>
        <v>2608.1045051270007</v>
      </c>
      <c r="J5" s="173">
        <f t="shared" si="0"/>
        <v>2868.914955639701</v>
      </c>
      <c r="K5" s="173">
        <f t="shared" si="0"/>
        <v>3155.8064512036713</v>
      </c>
      <c r="L5" s="173">
        <f t="shared" si="0"/>
        <v>3471.387096324039</v>
      </c>
      <c r="M5" s="173">
        <f t="shared" si="0"/>
        <v>3818.525805956443</v>
      </c>
      <c r="N5" s="127">
        <f>SUM(B5:M5)</f>
        <v>28620.083865520857</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264997.25999999995</v>
      </c>
      <c r="C7" s="31">
        <f aca="true" t="shared" si="1" ref="C7:M7">C5*$D$3</f>
        <v>291496.9859999999</v>
      </c>
      <c r="D7" s="31">
        <f t="shared" si="1"/>
        <v>320646.6845999999</v>
      </c>
      <c r="E7" s="31">
        <f t="shared" si="1"/>
        <v>352711.35306</v>
      </c>
      <c r="F7" s="31">
        <f t="shared" si="1"/>
        <v>387982.488366</v>
      </c>
      <c r="G7" s="31">
        <f t="shared" si="1"/>
        <v>426780.73720260005</v>
      </c>
      <c r="H7" s="31">
        <f t="shared" si="1"/>
        <v>469458.8109228601</v>
      </c>
      <c r="I7" s="31">
        <f t="shared" si="1"/>
        <v>516404.69201514614</v>
      </c>
      <c r="J7" s="31">
        <f t="shared" si="1"/>
        <v>568045.1612166608</v>
      </c>
      <c r="K7" s="31">
        <f t="shared" si="1"/>
        <v>624849.6773383269</v>
      </c>
      <c r="L7" s="31">
        <f t="shared" si="1"/>
        <v>687334.6450721597</v>
      </c>
      <c r="M7" s="31">
        <f t="shared" si="1"/>
        <v>756068.1095793757</v>
      </c>
      <c r="N7" s="32">
        <f>SUM(B7:M7)</f>
        <v>5666776.605373129</v>
      </c>
    </row>
    <row r="8" spans="1:14" ht="15">
      <c r="A8" s="133"/>
      <c r="B8" s="36"/>
      <c r="C8" s="36"/>
      <c r="D8" s="36"/>
      <c r="E8" s="36"/>
      <c r="F8" s="36"/>
      <c r="G8" s="36"/>
      <c r="H8" s="36"/>
      <c r="I8" s="36"/>
      <c r="J8" s="36"/>
      <c r="K8" s="36"/>
      <c r="L8" s="36"/>
      <c r="M8" s="36"/>
      <c r="N8" s="37"/>
    </row>
    <row r="9" spans="1:14" ht="15">
      <c r="A9" s="169" t="s">
        <v>56</v>
      </c>
      <c r="B9" s="21">
        <f>B5*$B$3</f>
        <v>184695.05999999994</v>
      </c>
      <c r="C9" s="21">
        <f aca="true" t="shared" si="2" ref="C9:M9">C5*$B$3</f>
        <v>203164.56599999996</v>
      </c>
      <c r="D9" s="21">
        <f t="shared" si="2"/>
        <v>223481.02259999997</v>
      </c>
      <c r="E9" s="21">
        <f t="shared" si="2"/>
        <v>245829.12485999998</v>
      </c>
      <c r="F9" s="21">
        <f t="shared" si="2"/>
        <v>270412.037346</v>
      </c>
      <c r="G9" s="21">
        <f t="shared" si="2"/>
        <v>297453.2410806</v>
      </c>
      <c r="H9" s="21">
        <f t="shared" si="2"/>
        <v>327198.56518866005</v>
      </c>
      <c r="I9" s="21">
        <f t="shared" si="2"/>
        <v>359918.4217075261</v>
      </c>
      <c r="J9" s="21">
        <f t="shared" si="2"/>
        <v>395910.2638782787</v>
      </c>
      <c r="K9" s="21">
        <f t="shared" si="2"/>
        <v>435501.29026610666</v>
      </c>
      <c r="L9" s="21">
        <f t="shared" si="2"/>
        <v>479051.41929271736</v>
      </c>
      <c r="M9" s="21">
        <f t="shared" si="2"/>
        <v>526956.5612219891</v>
      </c>
      <c r="N9" s="32">
        <f>SUM(B9:M9)</f>
        <v>3949571.573441878</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0</v>
      </c>
      <c r="D11" s="175">
        <v>0</v>
      </c>
      <c r="E11" s="175">
        <v>200000</v>
      </c>
      <c r="F11" s="175">
        <v>0</v>
      </c>
      <c r="G11" s="175">
        <v>0</v>
      </c>
      <c r="H11" s="175">
        <v>0</v>
      </c>
      <c r="I11" s="175">
        <v>0</v>
      </c>
      <c r="J11" s="175">
        <v>0</v>
      </c>
      <c r="K11" s="175"/>
      <c r="L11" s="175">
        <v>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25000</v>
      </c>
      <c r="G13" s="175">
        <v>25000</v>
      </c>
      <c r="H13" s="175">
        <v>25000</v>
      </c>
      <c r="I13" s="175">
        <v>25000</v>
      </c>
      <c r="J13" s="175">
        <v>25000</v>
      </c>
      <c r="K13" s="175">
        <v>25000</v>
      </c>
      <c r="L13" s="175">
        <v>25000</v>
      </c>
      <c r="M13" s="175">
        <v>25000</v>
      </c>
      <c r="N13" s="58">
        <f aca="true" t="shared" si="3" ref="N13:N29">SUM(B13:M13)</f>
        <v>212000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4525</v>
      </c>
      <c r="C15" s="175">
        <v>4525</v>
      </c>
      <c r="D15" s="175">
        <v>4525</v>
      </c>
      <c r="E15" s="175">
        <v>4525</v>
      </c>
      <c r="F15" s="175">
        <v>4525</v>
      </c>
      <c r="G15" s="175">
        <v>4525</v>
      </c>
      <c r="H15" s="175">
        <v>4525</v>
      </c>
      <c r="I15" s="175">
        <v>9050</v>
      </c>
      <c r="J15" s="175">
        <v>9050</v>
      </c>
      <c r="K15" s="175">
        <v>9050</v>
      </c>
      <c r="L15" s="175">
        <v>9050</v>
      </c>
      <c r="M15" s="175">
        <v>9050</v>
      </c>
      <c r="N15" s="58">
        <f t="shared" si="3"/>
        <v>76925</v>
      </c>
    </row>
    <row r="16" spans="1:14" ht="15">
      <c r="A16" s="169" t="s">
        <v>199</v>
      </c>
      <c r="B16" s="175">
        <v>4525</v>
      </c>
      <c r="C16" s="175">
        <v>4525</v>
      </c>
      <c r="D16" s="175">
        <v>4525</v>
      </c>
      <c r="E16" s="175">
        <v>4525</v>
      </c>
      <c r="F16" s="175">
        <v>4525</v>
      </c>
      <c r="G16" s="175">
        <v>4525</v>
      </c>
      <c r="H16" s="175">
        <v>4525</v>
      </c>
      <c r="I16" s="175">
        <v>4525</v>
      </c>
      <c r="J16" s="175">
        <v>4525</v>
      </c>
      <c r="K16" s="175">
        <v>9050</v>
      </c>
      <c r="L16" s="175">
        <v>9050</v>
      </c>
      <c r="M16" s="175">
        <v>9050</v>
      </c>
      <c r="N16" s="58">
        <f t="shared" si="3"/>
        <v>67875</v>
      </c>
    </row>
    <row r="17" spans="1:14" ht="15">
      <c r="A17" s="169" t="s">
        <v>200</v>
      </c>
      <c r="B17" s="175">
        <v>4525</v>
      </c>
      <c r="C17" s="175">
        <v>4525</v>
      </c>
      <c r="D17" s="175">
        <v>4525</v>
      </c>
      <c r="E17" s="175">
        <v>4525</v>
      </c>
      <c r="F17" s="175">
        <v>4525</v>
      </c>
      <c r="G17" s="175">
        <v>4525</v>
      </c>
      <c r="H17" s="175">
        <v>4525</v>
      </c>
      <c r="I17" s="175">
        <v>4525</v>
      </c>
      <c r="J17" s="175">
        <v>4525</v>
      </c>
      <c r="K17" s="175">
        <v>4525</v>
      </c>
      <c r="L17" s="175">
        <v>4525</v>
      </c>
      <c r="M17" s="175">
        <v>9050</v>
      </c>
      <c r="N17" s="58">
        <f t="shared" si="3"/>
        <v>58825</v>
      </c>
    </row>
    <row r="18" spans="1:14" ht="15">
      <c r="A18" s="169" t="s">
        <v>201</v>
      </c>
      <c r="B18" s="175">
        <v>0</v>
      </c>
      <c r="C18" s="175">
        <v>0</v>
      </c>
      <c r="D18" s="175">
        <v>0</v>
      </c>
      <c r="E18" s="175">
        <v>0</v>
      </c>
      <c r="F18" s="175">
        <v>4525</v>
      </c>
      <c r="G18" s="175">
        <v>4525</v>
      </c>
      <c r="H18" s="175">
        <v>4525</v>
      </c>
      <c r="I18" s="175">
        <v>4525</v>
      </c>
      <c r="J18" s="175">
        <v>4525</v>
      </c>
      <c r="K18" s="175">
        <v>4525</v>
      </c>
      <c r="L18" s="175">
        <v>4525</v>
      </c>
      <c r="M18" s="175">
        <v>4525</v>
      </c>
      <c r="N18" s="58">
        <f>SUM(B18:M18)</f>
        <v>36200</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82">
        <v>4400</v>
      </c>
      <c r="C20" s="182">
        <v>4400</v>
      </c>
      <c r="D20" s="182">
        <v>4400</v>
      </c>
      <c r="E20" s="182">
        <v>4400</v>
      </c>
      <c r="F20" s="181">
        <v>8800</v>
      </c>
      <c r="G20" s="181">
        <v>8800</v>
      </c>
      <c r="H20" s="181">
        <v>8800</v>
      </c>
      <c r="I20" s="181">
        <v>8800</v>
      </c>
      <c r="J20" s="181">
        <v>8800</v>
      </c>
      <c r="K20" s="181">
        <v>8800</v>
      </c>
      <c r="L20" s="181">
        <v>8800</v>
      </c>
      <c r="M20" s="181">
        <v>8800</v>
      </c>
      <c r="N20" s="58">
        <f>SUM(B20:M20)</f>
        <v>88000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20000</v>
      </c>
      <c r="C25" s="175">
        <v>20000</v>
      </c>
      <c r="D25" s="175">
        <v>20000</v>
      </c>
      <c r="E25" s="175">
        <v>20000</v>
      </c>
      <c r="F25" s="175">
        <v>20000</v>
      </c>
      <c r="G25" s="175">
        <v>20000</v>
      </c>
      <c r="H25" s="175">
        <v>20000</v>
      </c>
      <c r="I25" s="175">
        <v>20000</v>
      </c>
      <c r="J25" s="175">
        <v>20000</v>
      </c>
      <c r="K25" s="175">
        <v>20000</v>
      </c>
      <c r="L25" s="175">
        <v>20000</v>
      </c>
      <c r="M25" s="175">
        <v>20000</v>
      </c>
      <c r="N25" s="58">
        <f t="shared" si="3"/>
        <v>240000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1134.442</v>
      </c>
      <c r="C27" s="175">
        <f aca="true" t="shared" si="4" ref="C27:M27">(C4*300*30*0.007469)*2+1000</f>
        <v>1134.442</v>
      </c>
      <c r="D27" s="175">
        <f t="shared" si="4"/>
        <v>1134.442</v>
      </c>
      <c r="E27" s="175">
        <f t="shared" si="4"/>
        <v>1134.442</v>
      </c>
      <c r="F27" s="175">
        <f t="shared" si="4"/>
        <v>1134.442</v>
      </c>
      <c r="G27" s="175">
        <f t="shared" si="4"/>
        <v>1134.442</v>
      </c>
      <c r="H27" s="175">
        <f t="shared" si="4"/>
        <v>1134.442</v>
      </c>
      <c r="I27" s="175">
        <f t="shared" si="4"/>
        <v>1268.884</v>
      </c>
      <c r="J27" s="175">
        <f t="shared" si="4"/>
        <v>1268.884</v>
      </c>
      <c r="K27" s="175">
        <f t="shared" si="4"/>
        <v>1268.884</v>
      </c>
      <c r="L27" s="175">
        <f t="shared" si="4"/>
        <v>1268.884</v>
      </c>
      <c r="M27" s="175">
        <f t="shared" si="4"/>
        <v>1268.884</v>
      </c>
      <c r="N27" s="58">
        <f t="shared" si="3"/>
        <v>14285.514</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SUM(B30:M30)</f>
        <v>20004</v>
      </c>
    </row>
    <row r="31" spans="1:14" ht="15">
      <c r="A31" s="169" t="s">
        <v>214</v>
      </c>
      <c r="B31" s="175">
        <f>6500+2*(B5/2)</f>
        <v>7838.37</v>
      </c>
      <c r="C31" s="175">
        <f aca="true" t="shared" si="5" ref="C31:M31">6500+2*(C5/2)</f>
        <v>7972.206999999999</v>
      </c>
      <c r="D31" s="175">
        <f t="shared" si="5"/>
        <v>8119.4277</v>
      </c>
      <c r="E31" s="175">
        <f t="shared" si="5"/>
        <v>8281.37047</v>
      </c>
      <c r="F31" s="175">
        <f t="shared" si="5"/>
        <v>8459.507517</v>
      </c>
      <c r="G31" s="175">
        <f t="shared" si="5"/>
        <v>8655.4582687</v>
      </c>
      <c r="H31" s="175">
        <f t="shared" si="5"/>
        <v>8871.00409557</v>
      </c>
      <c r="I31" s="175">
        <f t="shared" si="5"/>
        <v>9108.104505127001</v>
      </c>
      <c r="J31" s="175">
        <f t="shared" si="5"/>
        <v>9368.9149556397</v>
      </c>
      <c r="K31" s="175">
        <f t="shared" si="5"/>
        <v>9655.80645120367</v>
      </c>
      <c r="L31" s="175">
        <f t="shared" si="5"/>
        <v>9971.387096324039</v>
      </c>
      <c r="M31" s="175">
        <f t="shared" si="5"/>
        <v>10318.525805956444</v>
      </c>
      <c r="N31" s="35">
        <f>SUM(B31:M31)</f>
        <v>106620.08386552084</v>
      </c>
    </row>
    <row r="32" spans="1:14" ht="15">
      <c r="A32" s="170" t="s">
        <v>59</v>
      </c>
      <c r="B32" s="175">
        <f aca="true" t="shared" si="6" ref="B32:M32">3400+1*(B4/2)</f>
        <v>3400.5</v>
      </c>
      <c r="C32" s="175">
        <f t="shared" si="6"/>
        <v>3400.5</v>
      </c>
      <c r="D32" s="175">
        <f t="shared" si="6"/>
        <v>3400.5</v>
      </c>
      <c r="E32" s="175">
        <f t="shared" si="6"/>
        <v>3400.5</v>
      </c>
      <c r="F32" s="175">
        <f t="shared" si="6"/>
        <v>3400.5</v>
      </c>
      <c r="G32" s="175">
        <f t="shared" si="6"/>
        <v>3400.5</v>
      </c>
      <c r="H32" s="175">
        <f t="shared" si="6"/>
        <v>3400.5</v>
      </c>
      <c r="I32" s="175">
        <f t="shared" si="6"/>
        <v>3401</v>
      </c>
      <c r="J32" s="175">
        <f t="shared" si="6"/>
        <v>3401</v>
      </c>
      <c r="K32" s="175">
        <f t="shared" si="6"/>
        <v>3401</v>
      </c>
      <c r="L32" s="175">
        <f t="shared" si="6"/>
        <v>3401</v>
      </c>
      <c r="M32" s="175">
        <f t="shared" si="6"/>
        <v>3401</v>
      </c>
      <c r="N32" s="35">
        <f>SUM(B32:M32)</f>
        <v>40808.5</v>
      </c>
    </row>
    <row r="33" spans="1:14" ht="15.75" thickBot="1">
      <c r="A33" s="170" t="s">
        <v>58</v>
      </c>
      <c r="B33" s="175">
        <f aca="true" t="shared" si="7" ref="B33:M33">3400+1*(B5/2)</f>
        <v>4069.185</v>
      </c>
      <c r="C33" s="175">
        <f t="shared" si="7"/>
        <v>4136.1035</v>
      </c>
      <c r="D33" s="175">
        <f t="shared" si="7"/>
        <v>4209.71385</v>
      </c>
      <c r="E33" s="175">
        <f t="shared" si="7"/>
        <v>4290.685235</v>
      </c>
      <c r="F33" s="175">
        <f t="shared" si="7"/>
        <v>4379.7537585</v>
      </c>
      <c r="G33" s="175">
        <f t="shared" si="7"/>
        <v>4477.72913435</v>
      </c>
      <c r="H33" s="175">
        <f t="shared" si="7"/>
        <v>4585.502047785</v>
      </c>
      <c r="I33" s="175">
        <f t="shared" si="7"/>
        <v>4704.052252563501</v>
      </c>
      <c r="J33" s="175">
        <f t="shared" si="7"/>
        <v>4834.45747781985</v>
      </c>
      <c r="K33" s="175">
        <f t="shared" si="7"/>
        <v>4977.903225601835</v>
      </c>
      <c r="L33" s="175">
        <f t="shared" si="7"/>
        <v>5135.693548162019</v>
      </c>
      <c r="M33" s="175">
        <f t="shared" si="7"/>
        <v>5309.262902978222</v>
      </c>
      <c r="N33" s="35">
        <f>SUM(B33:M33)</f>
        <v>55110.04193276042</v>
      </c>
    </row>
    <row r="34" spans="1:14" ht="15.75" thickBot="1">
      <c r="A34" s="171" t="s">
        <v>94</v>
      </c>
      <c r="B34" s="22">
        <f aca="true" t="shared" si="8" ref="B34:M34">B7-SUM(B9:B33)</f>
        <v>-39582.29699999996</v>
      </c>
      <c r="C34" s="22">
        <f t="shared" si="8"/>
        <v>-31752.832500000077</v>
      </c>
      <c r="D34" s="22">
        <f t="shared" si="8"/>
        <v>-23140.42155000003</v>
      </c>
      <c r="E34" s="22">
        <f t="shared" si="8"/>
        <v>-213666.76950499997</v>
      </c>
      <c r="F34" s="22">
        <f t="shared" si="8"/>
        <v>-34170.7522555</v>
      </c>
      <c r="G34" s="22">
        <f t="shared" si="8"/>
        <v>-22707.63328104996</v>
      </c>
      <c r="H34" s="22">
        <f t="shared" si="8"/>
        <v>-10098.20240915491</v>
      </c>
      <c r="I34" s="22">
        <f t="shared" si="8"/>
        <v>-887.7704500704422</v>
      </c>
      <c r="J34" s="22">
        <f t="shared" si="8"/>
        <v>14369.640904922388</v>
      </c>
      <c r="K34" s="22">
        <f t="shared" si="8"/>
        <v>26627.793395414832</v>
      </c>
      <c r="L34" s="22">
        <f t="shared" si="8"/>
        <v>45089.26113495638</v>
      </c>
      <c r="M34" s="137">
        <f t="shared" si="8"/>
        <v>60871.87564845197</v>
      </c>
      <c r="N34" s="138">
        <f>SUM(B34:M34)</f>
        <v>-229048.1078670298</v>
      </c>
    </row>
    <row r="37" spans="1:14" ht="15">
      <c r="A37" s="247" t="s">
        <v>291</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8" r:id="rId1"/>
  <headerFooter>
    <oddHeader>&amp;C&amp;"-,Bold"&amp;36&amp;UProject Victories Project Selection Tool</oddHeader>
    <oddFooter>&amp;CCopyright The Volpe Consortium,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
      <selection activeCell="A2" sqref="A2"/>
    </sheetView>
  </sheetViews>
  <sheetFormatPr defaultColWidth="9.140625" defaultRowHeight="15"/>
  <cols>
    <col min="1" max="1" width="28.28125" style="0" customWidth="1"/>
    <col min="2" max="13" width="14.28125" style="0" bestFit="1" customWidth="1"/>
    <col min="14" max="14" width="15.28125" style="0" bestFit="1" customWidth="1"/>
  </cols>
  <sheetData>
    <row r="1" spans="1:14" ht="15">
      <c r="A1" s="57"/>
      <c r="B1" s="125" t="s">
        <v>15</v>
      </c>
      <c r="C1" s="125" t="s">
        <v>35</v>
      </c>
      <c r="D1" s="125"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f>INT(B5/Calcs!$B$21)+1</f>
        <v>2</v>
      </c>
      <c r="C4" s="177">
        <f>INT(C5/Calcs!$B$21)+1</f>
        <v>2</v>
      </c>
      <c r="D4" s="177">
        <v>2</v>
      </c>
      <c r="E4" s="177">
        <v>2</v>
      </c>
      <c r="F4" s="177">
        <f>INT(F5/Calcs!$B$21)+1</f>
        <v>3</v>
      </c>
      <c r="G4" s="177">
        <f>INT(G5/Calcs!$B$21)+1</f>
        <v>3</v>
      </c>
      <c r="H4" s="177">
        <f>INT(H5/Calcs!$B$21)+1</f>
        <v>3</v>
      </c>
      <c r="I4" s="177">
        <f>INT(I5/Calcs!$B$21)+1</f>
        <v>3</v>
      </c>
      <c r="J4" s="177">
        <f>INT(J5/Calcs!$B$21)+1</f>
        <v>3</v>
      </c>
      <c r="K4" s="177">
        <f>INT(K5/Calcs!$B$21)+1</f>
        <v>3</v>
      </c>
      <c r="L4" s="177">
        <v>3</v>
      </c>
      <c r="M4" s="177">
        <v>3</v>
      </c>
      <c r="N4" s="75"/>
    </row>
    <row r="5" spans="1:14" ht="15">
      <c r="A5" s="169" t="s">
        <v>284</v>
      </c>
      <c r="B5" s="173">
        <f>'FY 2 Most Likely'!M5*1.05</f>
        <v>4009.452096254265</v>
      </c>
      <c r="C5" s="173">
        <f>B5*1.05</f>
        <v>4209.924701066979</v>
      </c>
      <c r="D5" s="173">
        <f aca="true" t="shared" si="0" ref="D5:M5">C5*1.05</f>
        <v>4420.4209361203275</v>
      </c>
      <c r="E5" s="173">
        <f t="shared" si="0"/>
        <v>4641.441982926344</v>
      </c>
      <c r="F5" s="173">
        <f t="shared" si="0"/>
        <v>4873.514082072662</v>
      </c>
      <c r="G5" s="173">
        <f t="shared" si="0"/>
        <v>5117.1897861762955</v>
      </c>
      <c r="H5" s="173">
        <f t="shared" si="0"/>
        <v>5373.04927548511</v>
      </c>
      <c r="I5" s="173">
        <f t="shared" si="0"/>
        <v>5641.701739259366</v>
      </c>
      <c r="J5" s="173">
        <f t="shared" si="0"/>
        <v>5923.786826222335</v>
      </c>
      <c r="K5" s="173">
        <f t="shared" si="0"/>
        <v>6219.976167533451</v>
      </c>
      <c r="L5" s="173">
        <f t="shared" si="0"/>
        <v>6530.974975910124</v>
      </c>
      <c r="M5" s="173">
        <f t="shared" si="0"/>
        <v>6857.52372470563</v>
      </c>
      <c r="N5" s="127">
        <f>SUM(B5:M5)</f>
        <v>63818.95629373289</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793871.5150583445</v>
      </c>
      <c r="C7" s="31">
        <f aca="true" t="shared" si="1" ref="C7:M7">C5*$D$3</f>
        <v>833565.0908112618</v>
      </c>
      <c r="D7" s="31">
        <f t="shared" si="1"/>
        <v>875243.3453518249</v>
      </c>
      <c r="E7" s="31">
        <f t="shared" si="1"/>
        <v>919005.5126194161</v>
      </c>
      <c r="F7" s="31">
        <f t="shared" si="1"/>
        <v>964955.7882503871</v>
      </c>
      <c r="G7" s="31">
        <f t="shared" si="1"/>
        <v>1013203.5776629065</v>
      </c>
      <c r="H7" s="31">
        <f t="shared" si="1"/>
        <v>1063863.756546052</v>
      </c>
      <c r="I7" s="31">
        <f t="shared" si="1"/>
        <v>1117056.9443733545</v>
      </c>
      <c r="J7" s="31">
        <f t="shared" si="1"/>
        <v>1172909.7915920222</v>
      </c>
      <c r="K7" s="31">
        <f t="shared" si="1"/>
        <v>1231555.2811716234</v>
      </c>
      <c r="L7" s="31">
        <f t="shared" si="1"/>
        <v>1293133.0452302045</v>
      </c>
      <c r="M7" s="31">
        <f t="shared" si="1"/>
        <v>1357789.6974917147</v>
      </c>
      <c r="N7" s="32">
        <f>SUM(B7:M7)</f>
        <v>12636153.346159112</v>
      </c>
    </row>
    <row r="8" spans="1:14" ht="15">
      <c r="A8" s="133"/>
      <c r="B8" s="36"/>
      <c r="C8" s="36"/>
      <c r="D8" s="36"/>
      <c r="E8" s="36"/>
      <c r="F8" s="36"/>
      <c r="G8" s="36"/>
      <c r="H8" s="36"/>
      <c r="I8" s="36"/>
      <c r="J8" s="36"/>
      <c r="K8" s="36"/>
      <c r="L8" s="36"/>
      <c r="M8" s="36"/>
      <c r="N8" s="37"/>
    </row>
    <row r="9" spans="1:14" ht="15">
      <c r="A9" s="169" t="s">
        <v>56</v>
      </c>
      <c r="B9" s="21">
        <f>B5*$B$3</f>
        <v>553304.3892830886</v>
      </c>
      <c r="C9" s="21">
        <f aca="true" t="shared" si="2" ref="C9:M9">C5*$B$3</f>
        <v>580969.6087472431</v>
      </c>
      <c r="D9" s="21">
        <f t="shared" si="2"/>
        <v>610018.0891846052</v>
      </c>
      <c r="E9" s="21">
        <f t="shared" si="2"/>
        <v>640518.9936438355</v>
      </c>
      <c r="F9" s="21">
        <f t="shared" si="2"/>
        <v>672544.9433260274</v>
      </c>
      <c r="G9" s="21">
        <f t="shared" si="2"/>
        <v>706172.1904923287</v>
      </c>
      <c r="H9" s="21">
        <f t="shared" si="2"/>
        <v>741480.8000169452</v>
      </c>
      <c r="I9" s="21">
        <f t="shared" si="2"/>
        <v>778554.8400177925</v>
      </c>
      <c r="J9" s="21">
        <f t="shared" si="2"/>
        <v>817482.5820186822</v>
      </c>
      <c r="K9" s="21">
        <f t="shared" si="2"/>
        <v>858356.7111196163</v>
      </c>
      <c r="L9" s="21">
        <f t="shared" si="2"/>
        <v>901274.5466755971</v>
      </c>
      <c r="M9" s="21">
        <f t="shared" si="2"/>
        <v>946338.274009377</v>
      </c>
      <c r="N9" s="32">
        <f>SUM(B9:M9)</f>
        <v>8807015.96853514</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200000</v>
      </c>
      <c r="C11" s="175">
        <v>0</v>
      </c>
      <c r="D11" s="175">
        <v>0</v>
      </c>
      <c r="E11" s="175">
        <v>0</v>
      </c>
      <c r="F11" s="175">
        <v>0</v>
      </c>
      <c r="G11" s="175">
        <v>0</v>
      </c>
      <c r="H11" s="175">
        <v>0</v>
      </c>
      <c r="I11" s="175">
        <v>0</v>
      </c>
      <c r="J11" s="175">
        <v>200000</v>
      </c>
      <c r="K11" s="175">
        <v>0</v>
      </c>
      <c r="L11" s="175">
        <v>0</v>
      </c>
      <c r="M11" s="175">
        <v>0</v>
      </c>
      <c r="N11" s="58">
        <f>SUM(B11:M11)</f>
        <v>400000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aca="true" t="shared" si="3" ref="N14:N32">SUM(B14:M14)</f>
        <v>0</v>
      </c>
    </row>
    <row r="15" spans="1:14" ht="15">
      <c r="A15" s="169" t="s">
        <v>198</v>
      </c>
      <c r="B15" s="175">
        <v>9050</v>
      </c>
      <c r="C15" s="175">
        <v>9050</v>
      </c>
      <c r="D15" s="175">
        <v>9050</v>
      </c>
      <c r="E15" s="175">
        <v>9050</v>
      </c>
      <c r="F15" s="175">
        <v>13575</v>
      </c>
      <c r="G15" s="175">
        <v>13575</v>
      </c>
      <c r="H15" s="175">
        <v>13575</v>
      </c>
      <c r="I15" s="175">
        <v>13575</v>
      </c>
      <c r="J15" s="175">
        <v>13575</v>
      </c>
      <c r="K15" s="175">
        <v>13575</v>
      </c>
      <c r="L15" s="175">
        <v>13575</v>
      </c>
      <c r="M15" s="175">
        <v>13575</v>
      </c>
      <c r="N15" s="58">
        <f t="shared" si="3"/>
        <v>144800</v>
      </c>
    </row>
    <row r="16" spans="1:14" ht="15">
      <c r="A16" s="169" t="s">
        <v>199</v>
      </c>
      <c r="B16" s="175">
        <v>9050</v>
      </c>
      <c r="C16" s="175">
        <v>9050</v>
      </c>
      <c r="D16" s="175">
        <v>9050</v>
      </c>
      <c r="E16" s="175">
        <v>9050</v>
      </c>
      <c r="F16" s="175">
        <v>9050</v>
      </c>
      <c r="G16" s="175">
        <v>9050</v>
      </c>
      <c r="H16" s="175">
        <v>9050</v>
      </c>
      <c r="I16" s="175">
        <v>13575</v>
      </c>
      <c r="J16" s="175">
        <v>13575</v>
      </c>
      <c r="K16" s="175">
        <v>13575</v>
      </c>
      <c r="L16" s="175">
        <v>13575</v>
      </c>
      <c r="M16" s="175">
        <v>13575</v>
      </c>
      <c r="N16" s="58">
        <f t="shared" si="3"/>
        <v>131225</v>
      </c>
    </row>
    <row r="17" spans="1:14" ht="15">
      <c r="A17" s="169" t="s">
        <v>200</v>
      </c>
      <c r="B17" s="175">
        <v>9050</v>
      </c>
      <c r="C17" s="175">
        <v>9050</v>
      </c>
      <c r="D17" s="175">
        <v>9050</v>
      </c>
      <c r="E17" s="175">
        <v>9050</v>
      </c>
      <c r="F17" s="175">
        <v>9050</v>
      </c>
      <c r="G17" s="175">
        <v>9050</v>
      </c>
      <c r="H17" s="175">
        <v>9050</v>
      </c>
      <c r="I17" s="175">
        <v>9050</v>
      </c>
      <c r="J17" s="175">
        <v>9050</v>
      </c>
      <c r="K17" s="175">
        <v>13575</v>
      </c>
      <c r="L17" s="175">
        <v>13575</v>
      </c>
      <c r="M17" s="175">
        <v>13575</v>
      </c>
      <c r="N17" s="58">
        <f t="shared" si="3"/>
        <v>122175</v>
      </c>
    </row>
    <row r="18" spans="1:14" ht="15">
      <c r="A18" s="169" t="s">
        <v>201</v>
      </c>
      <c r="B18" s="175">
        <v>4525</v>
      </c>
      <c r="C18" s="175">
        <v>9050</v>
      </c>
      <c r="D18" s="175">
        <v>9050</v>
      </c>
      <c r="E18" s="175">
        <v>9050</v>
      </c>
      <c r="F18" s="175">
        <v>9050</v>
      </c>
      <c r="G18" s="175">
        <v>9050</v>
      </c>
      <c r="H18" s="175">
        <v>9050</v>
      </c>
      <c r="I18" s="175">
        <v>9050</v>
      </c>
      <c r="J18" s="175">
        <v>9050</v>
      </c>
      <c r="K18" s="175">
        <v>9050</v>
      </c>
      <c r="L18" s="175">
        <v>9050</v>
      </c>
      <c r="M18" s="175">
        <v>13575</v>
      </c>
      <c r="N18" s="58">
        <f>SUM(B18:M18)</f>
        <v>108600</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81">
        <v>8800</v>
      </c>
      <c r="C20" s="181">
        <v>8800</v>
      </c>
      <c r="D20" s="181">
        <v>8800</v>
      </c>
      <c r="E20" s="181">
        <v>8800</v>
      </c>
      <c r="F20" s="181">
        <v>8800</v>
      </c>
      <c r="G20" s="181">
        <v>8800</v>
      </c>
      <c r="H20" s="181">
        <v>8800</v>
      </c>
      <c r="I20" s="181">
        <v>8800</v>
      </c>
      <c r="J20" s="181">
        <v>8800</v>
      </c>
      <c r="K20" s="181">
        <v>8800</v>
      </c>
      <c r="L20" s="181">
        <v>8800</v>
      </c>
      <c r="M20" s="181">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1268.884</v>
      </c>
      <c r="C27" s="175">
        <f aca="true" t="shared" si="4" ref="C27:M27">(C4*300*30*0.007469)*2+1000</f>
        <v>1268.884</v>
      </c>
      <c r="D27" s="175">
        <f t="shared" si="4"/>
        <v>1268.884</v>
      </c>
      <c r="E27" s="175">
        <f t="shared" si="4"/>
        <v>1268.884</v>
      </c>
      <c r="F27" s="175">
        <f t="shared" si="4"/>
        <v>1403.326</v>
      </c>
      <c r="G27" s="175">
        <f t="shared" si="4"/>
        <v>1403.326</v>
      </c>
      <c r="H27" s="175">
        <f t="shared" si="4"/>
        <v>1403.326</v>
      </c>
      <c r="I27" s="175">
        <f t="shared" si="4"/>
        <v>1403.326</v>
      </c>
      <c r="J27" s="175">
        <f t="shared" si="4"/>
        <v>1403.326</v>
      </c>
      <c r="K27" s="175">
        <f t="shared" si="4"/>
        <v>1403.326</v>
      </c>
      <c r="L27" s="175">
        <f t="shared" si="4"/>
        <v>1403.326</v>
      </c>
      <c r="M27" s="175">
        <f t="shared" si="4"/>
        <v>1403.326</v>
      </c>
      <c r="N27" s="58">
        <f t="shared" si="3"/>
        <v>16302.144000000004</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SUM(B30:M30)</f>
        <v>20004</v>
      </c>
    </row>
    <row r="31" spans="1:14" ht="15">
      <c r="A31" s="169" t="s">
        <v>214</v>
      </c>
      <c r="B31" s="175">
        <f>6500+2*(B5/2)</f>
        <v>10509.452096254265</v>
      </c>
      <c r="C31" s="175">
        <f aca="true" t="shared" si="5" ref="C31:M31">6500+2*(C5/2)</f>
        <v>10709.924701066979</v>
      </c>
      <c r="D31" s="175">
        <f t="shared" si="5"/>
        <v>10920.420936120328</v>
      </c>
      <c r="E31" s="175">
        <f t="shared" si="5"/>
        <v>11141.441982926344</v>
      </c>
      <c r="F31" s="175">
        <f t="shared" si="5"/>
        <v>11373.514082072663</v>
      </c>
      <c r="G31" s="175">
        <f t="shared" si="5"/>
        <v>11617.189786176295</v>
      </c>
      <c r="H31" s="175">
        <f t="shared" si="5"/>
        <v>11873.049275485111</v>
      </c>
      <c r="I31" s="175">
        <f t="shared" si="5"/>
        <v>12141.701739259366</v>
      </c>
      <c r="J31" s="175">
        <f t="shared" si="5"/>
        <v>12423.786826222335</v>
      </c>
      <c r="K31" s="175">
        <f t="shared" si="5"/>
        <v>12719.976167533452</v>
      </c>
      <c r="L31" s="175">
        <f t="shared" si="5"/>
        <v>13030.974975910125</v>
      </c>
      <c r="M31" s="175">
        <f t="shared" si="5"/>
        <v>13357.52372470563</v>
      </c>
      <c r="N31" s="58">
        <f t="shared" si="3"/>
        <v>141818.9562937329</v>
      </c>
    </row>
    <row r="32" spans="1:14" ht="15">
      <c r="A32" s="170" t="s">
        <v>59</v>
      </c>
      <c r="B32" s="175">
        <f>3400+1*(B4/2)</f>
        <v>3401</v>
      </c>
      <c r="C32" s="175">
        <f aca="true" t="shared" si="6" ref="C32:M33">3400+1*(C4/2)</f>
        <v>3401</v>
      </c>
      <c r="D32" s="175">
        <f t="shared" si="6"/>
        <v>3401</v>
      </c>
      <c r="E32" s="175">
        <f t="shared" si="6"/>
        <v>3401</v>
      </c>
      <c r="F32" s="175">
        <f t="shared" si="6"/>
        <v>3401.5</v>
      </c>
      <c r="G32" s="175">
        <f t="shared" si="6"/>
        <v>3401.5</v>
      </c>
      <c r="H32" s="175">
        <f t="shared" si="6"/>
        <v>3401.5</v>
      </c>
      <c r="I32" s="175">
        <f t="shared" si="6"/>
        <v>3401.5</v>
      </c>
      <c r="J32" s="175">
        <f t="shared" si="6"/>
        <v>3401.5</v>
      </c>
      <c r="K32" s="175">
        <f t="shared" si="6"/>
        <v>3401.5</v>
      </c>
      <c r="L32" s="175">
        <f t="shared" si="6"/>
        <v>3401.5</v>
      </c>
      <c r="M32" s="175">
        <f t="shared" si="6"/>
        <v>3401.5</v>
      </c>
      <c r="N32" s="58">
        <f t="shared" si="3"/>
        <v>40816</v>
      </c>
    </row>
    <row r="33" spans="1:14" ht="15.75" thickBot="1">
      <c r="A33" s="170" t="s">
        <v>58</v>
      </c>
      <c r="B33" s="175">
        <f>3400+1*(B5/2)</f>
        <v>5404.726048127132</v>
      </c>
      <c r="C33" s="175">
        <f t="shared" si="6"/>
        <v>5504.962350533489</v>
      </c>
      <c r="D33" s="175">
        <f t="shared" si="6"/>
        <v>5610.210468060164</v>
      </c>
      <c r="E33" s="175">
        <f t="shared" si="6"/>
        <v>5720.720991463172</v>
      </c>
      <c r="F33" s="175">
        <f t="shared" si="6"/>
        <v>5836.757041036331</v>
      </c>
      <c r="G33" s="175">
        <f t="shared" si="6"/>
        <v>5958.594893088148</v>
      </c>
      <c r="H33" s="175">
        <f t="shared" si="6"/>
        <v>6086.524637742556</v>
      </c>
      <c r="I33" s="175">
        <f t="shared" si="6"/>
        <v>6220.850869629683</v>
      </c>
      <c r="J33" s="175">
        <f t="shared" si="6"/>
        <v>6361.893413111167</v>
      </c>
      <c r="K33" s="175">
        <f t="shared" si="6"/>
        <v>6509.988083766726</v>
      </c>
      <c r="L33" s="175">
        <f t="shared" si="6"/>
        <v>6665.4874879550625</v>
      </c>
      <c r="M33" s="175">
        <f t="shared" si="6"/>
        <v>6828.761862352815</v>
      </c>
      <c r="N33" s="35">
        <f>SUM(B33:M33)</f>
        <v>72709.47814686644</v>
      </c>
    </row>
    <row r="34" spans="1:14" ht="15.75" thickBot="1">
      <c r="A34" s="171" t="s">
        <v>94</v>
      </c>
      <c r="B34" s="22">
        <f aca="true" t="shared" si="7" ref="B34:M34">B7-SUM(B9:B33)</f>
        <v>-147958.9363691255</v>
      </c>
      <c r="C34" s="22">
        <f t="shared" si="7"/>
        <v>59243.71101241838</v>
      </c>
      <c r="D34" s="22">
        <f t="shared" si="7"/>
        <v>71557.74076303921</v>
      </c>
      <c r="E34" s="22">
        <f t="shared" si="7"/>
        <v>84487.47200119111</v>
      </c>
      <c r="F34" s="22">
        <f t="shared" si="7"/>
        <v>93403.74780125066</v>
      </c>
      <c r="G34" s="22">
        <f t="shared" si="7"/>
        <v>107658.77649131336</v>
      </c>
      <c r="H34" s="22">
        <f t="shared" si="7"/>
        <v>122626.55661587906</v>
      </c>
      <c r="I34" s="22">
        <f t="shared" si="7"/>
        <v>133817.72574667295</v>
      </c>
      <c r="J34" s="22">
        <f t="shared" si="7"/>
        <v>-49680.29666599352</v>
      </c>
      <c r="K34" s="22">
        <f t="shared" si="7"/>
        <v>163121.77980070678</v>
      </c>
      <c r="L34" s="22">
        <f t="shared" si="7"/>
        <v>181315.21009074245</v>
      </c>
      <c r="M34" s="22">
        <f t="shared" si="7"/>
        <v>195893.31189527945</v>
      </c>
      <c r="N34" s="23">
        <f>SUM(B34:M34)</f>
        <v>1015486.7991833744</v>
      </c>
    </row>
    <row r="37" spans="1:14" ht="15">
      <c r="A37" s="247" t="s">
        <v>292</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
      <selection activeCell="A2" sqref="A2"/>
    </sheetView>
  </sheetViews>
  <sheetFormatPr defaultColWidth="9.140625" defaultRowHeight="15"/>
  <cols>
    <col min="1" max="1" width="27.8515625" style="0" customWidth="1"/>
    <col min="2" max="13" width="14.28125" style="0" bestFit="1" customWidth="1"/>
    <col min="14" max="14" width="15.2812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v>4</v>
      </c>
      <c r="C4" s="177">
        <v>4</v>
      </c>
      <c r="D4" s="177">
        <v>4</v>
      </c>
      <c r="E4" s="177">
        <v>4</v>
      </c>
      <c r="F4" s="177">
        <v>4</v>
      </c>
      <c r="G4" s="177">
        <v>4</v>
      </c>
      <c r="H4" s="177">
        <v>5</v>
      </c>
      <c r="I4" s="177">
        <v>5</v>
      </c>
      <c r="J4" s="177">
        <v>5</v>
      </c>
      <c r="K4" s="177">
        <v>5</v>
      </c>
      <c r="L4" s="177">
        <v>5</v>
      </c>
      <c r="M4" s="177">
        <v>6</v>
      </c>
      <c r="N4" s="75"/>
    </row>
    <row r="5" spans="1:14" ht="15">
      <c r="A5" s="169" t="s">
        <v>284</v>
      </c>
      <c r="B5" s="173">
        <f>'FY 3 Most Likely'!M5*1.05</f>
        <v>7200.399910940912</v>
      </c>
      <c r="C5" s="173">
        <f>B5*1.05</f>
        <v>7560.4199064879585</v>
      </c>
      <c r="D5" s="173">
        <f aca="true" t="shared" si="0" ref="D5:M5">C5*1.05</f>
        <v>7938.440901812357</v>
      </c>
      <c r="E5" s="173">
        <f t="shared" si="0"/>
        <v>8335.362946902975</v>
      </c>
      <c r="F5" s="173">
        <f t="shared" si="0"/>
        <v>8752.131094248123</v>
      </c>
      <c r="G5" s="173">
        <f t="shared" si="0"/>
        <v>9189.73764896053</v>
      </c>
      <c r="H5" s="173">
        <f t="shared" si="0"/>
        <v>9649.224531408558</v>
      </c>
      <c r="I5" s="173">
        <f t="shared" si="0"/>
        <v>10131.685757978987</v>
      </c>
      <c r="J5" s="173">
        <f t="shared" si="0"/>
        <v>10638.270045877936</v>
      </c>
      <c r="K5" s="173">
        <f t="shared" si="0"/>
        <v>11170.183548171834</v>
      </c>
      <c r="L5" s="173">
        <f t="shared" si="0"/>
        <v>11728.692725580426</v>
      </c>
      <c r="M5" s="173">
        <f t="shared" si="0"/>
        <v>12315.127361859448</v>
      </c>
      <c r="N5" s="127">
        <f>SUM(B5:M5)</f>
        <v>114609.67638023001</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1425679.1823663006</v>
      </c>
      <c r="C7" s="31">
        <f aca="true" t="shared" si="1" ref="C7:M7">C5*$D$3</f>
        <v>1496963.1414846159</v>
      </c>
      <c r="D7" s="31">
        <f t="shared" si="1"/>
        <v>1571811.2985588466</v>
      </c>
      <c r="E7" s="31">
        <f t="shared" si="1"/>
        <v>1650401.863486789</v>
      </c>
      <c r="F7" s="31">
        <f t="shared" si="1"/>
        <v>1732921.9566611284</v>
      </c>
      <c r="G7" s="31">
        <f t="shared" si="1"/>
        <v>1819568.054494185</v>
      </c>
      <c r="H7" s="31">
        <f t="shared" si="1"/>
        <v>1910546.4572188945</v>
      </c>
      <c r="I7" s="31">
        <f t="shared" si="1"/>
        <v>2006073.7800798393</v>
      </c>
      <c r="J7" s="31">
        <f t="shared" si="1"/>
        <v>2106377.469083831</v>
      </c>
      <c r="K7" s="31">
        <f t="shared" si="1"/>
        <v>2211696.342538023</v>
      </c>
      <c r="L7" s="31">
        <f t="shared" si="1"/>
        <v>2322281.1596649243</v>
      </c>
      <c r="M7" s="31">
        <f t="shared" si="1"/>
        <v>2438395.217648171</v>
      </c>
      <c r="N7" s="32">
        <f>SUM(B7:M7)</f>
        <v>22692715.923285548</v>
      </c>
    </row>
    <row r="8" spans="1:14" ht="15">
      <c r="A8" s="133"/>
      <c r="B8" s="36"/>
      <c r="C8" s="36"/>
      <c r="D8" s="36"/>
      <c r="E8" s="36"/>
      <c r="F8" s="36"/>
      <c r="G8" s="36"/>
      <c r="H8" s="36"/>
      <c r="I8" s="36"/>
      <c r="J8" s="36"/>
      <c r="K8" s="36"/>
      <c r="L8" s="36"/>
      <c r="M8" s="36"/>
      <c r="N8" s="37"/>
    </row>
    <row r="9" spans="1:14" ht="15">
      <c r="A9" s="169" t="s">
        <v>56</v>
      </c>
      <c r="B9" s="21">
        <f>B5*$B$3</f>
        <v>993655.187709846</v>
      </c>
      <c r="C9" s="21">
        <f aca="true" t="shared" si="2" ref="C9:M9">C5*$B$3</f>
        <v>1043337.9470953383</v>
      </c>
      <c r="D9" s="21">
        <f t="shared" si="2"/>
        <v>1095504.8444501052</v>
      </c>
      <c r="E9" s="21">
        <f t="shared" si="2"/>
        <v>1150280.0866726106</v>
      </c>
      <c r="F9" s="21">
        <f t="shared" si="2"/>
        <v>1207794.091006241</v>
      </c>
      <c r="G9" s="21">
        <f t="shared" si="2"/>
        <v>1268183.7955565532</v>
      </c>
      <c r="H9" s="21">
        <f t="shared" si="2"/>
        <v>1331592.985334381</v>
      </c>
      <c r="I9" s="21">
        <f t="shared" si="2"/>
        <v>1398172.6346011</v>
      </c>
      <c r="J9" s="21">
        <f t="shared" si="2"/>
        <v>1468081.2663311553</v>
      </c>
      <c r="K9" s="21">
        <f t="shared" si="2"/>
        <v>1541485.329647713</v>
      </c>
      <c r="L9" s="21">
        <f t="shared" si="2"/>
        <v>1618559.5961300987</v>
      </c>
      <c r="M9" s="21">
        <f t="shared" si="2"/>
        <v>1699487.5759366038</v>
      </c>
      <c r="N9" s="32">
        <f>SUM(B9:M9)</f>
        <v>15816135.340471746</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c r="D11" s="175">
        <v>200000</v>
      </c>
      <c r="E11" s="175">
        <v>0</v>
      </c>
      <c r="F11" s="175">
        <v>0</v>
      </c>
      <c r="G11" s="175">
        <v>0</v>
      </c>
      <c r="H11" s="175">
        <v>0</v>
      </c>
      <c r="I11" s="175">
        <v>200000</v>
      </c>
      <c r="J11" s="175"/>
      <c r="K11" s="175">
        <v>0</v>
      </c>
      <c r="L11" s="175">
        <v>0</v>
      </c>
      <c r="M11" s="175">
        <v>0</v>
      </c>
      <c r="N11" s="58">
        <f>SUM(B11:M11)</f>
        <v>400000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aca="true" t="shared" si="3" ref="N14:N32">SUM(B14:M14)</f>
        <v>0</v>
      </c>
    </row>
    <row r="15" spans="1:14" ht="15">
      <c r="A15" s="169" t="s">
        <v>198</v>
      </c>
      <c r="B15" s="175">
        <v>18100</v>
      </c>
      <c r="C15" s="175">
        <v>18100</v>
      </c>
      <c r="D15" s="175">
        <v>18100</v>
      </c>
      <c r="E15" s="175">
        <v>18100</v>
      </c>
      <c r="F15" s="175">
        <v>18100</v>
      </c>
      <c r="G15" s="175">
        <v>18100</v>
      </c>
      <c r="H15" s="175">
        <v>22625</v>
      </c>
      <c r="I15" s="175">
        <v>22625</v>
      </c>
      <c r="J15" s="175">
        <v>22625</v>
      </c>
      <c r="K15" s="175">
        <v>22625</v>
      </c>
      <c r="L15" s="175">
        <v>22625</v>
      </c>
      <c r="M15" s="175">
        <v>27150</v>
      </c>
      <c r="N15" s="58">
        <f t="shared" si="3"/>
        <v>248875</v>
      </c>
    </row>
    <row r="16" spans="1:14" ht="15">
      <c r="A16" s="169" t="s">
        <v>199</v>
      </c>
      <c r="B16" s="175">
        <v>13575</v>
      </c>
      <c r="C16" s="175">
        <v>13575</v>
      </c>
      <c r="D16" s="175">
        <v>18100</v>
      </c>
      <c r="E16" s="175">
        <v>18100</v>
      </c>
      <c r="F16" s="175">
        <v>18100</v>
      </c>
      <c r="G16" s="175">
        <v>18100</v>
      </c>
      <c r="H16" s="175">
        <v>18100</v>
      </c>
      <c r="I16" s="175">
        <v>18100</v>
      </c>
      <c r="J16" s="175">
        <v>22625</v>
      </c>
      <c r="K16" s="175">
        <v>22625</v>
      </c>
      <c r="L16" s="175">
        <v>22625</v>
      </c>
      <c r="M16" s="175">
        <v>22625</v>
      </c>
      <c r="N16" s="58">
        <f t="shared" si="3"/>
        <v>226250</v>
      </c>
    </row>
    <row r="17" spans="1:14" ht="15">
      <c r="A17" s="169" t="s">
        <v>200</v>
      </c>
      <c r="B17" s="175">
        <v>13575</v>
      </c>
      <c r="C17" s="175">
        <v>13575</v>
      </c>
      <c r="D17" s="175">
        <v>13575</v>
      </c>
      <c r="E17" s="175">
        <v>13575</v>
      </c>
      <c r="F17" s="175">
        <v>18100</v>
      </c>
      <c r="G17" s="175">
        <v>18100</v>
      </c>
      <c r="H17" s="175">
        <v>18100</v>
      </c>
      <c r="I17" s="175">
        <v>18100</v>
      </c>
      <c r="J17" s="175">
        <v>18100</v>
      </c>
      <c r="K17" s="175">
        <v>22625</v>
      </c>
      <c r="L17" s="175">
        <v>22625</v>
      </c>
      <c r="M17" s="175">
        <v>22625</v>
      </c>
      <c r="N17" s="58">
        <f t="shared" si="3"/>
        <v>212675</v>
      </c>
    </row>
    <row r="18" spans="1:14" ht="15">
      <c r="A18" s="169" t="s">
        <v>201</v>
      </c>
      <c r="B18" s="175">
        <v>13575</v>
      </c>
      <c r="C18" s="175">
        <v>13575</v>
      </c>
      <c r="D18" s="175">
        <v>13575</v>
      </c>
      <c r="E18" s="175">
        <v>13575</v>
      </c>
      <c r="F18" s="175">
        <v>13575</v>
      </c>
      <c r="G18" s="175">
        <v>18100</v>
      </c>
      <c r="H18" s="175">
        <v>18100</v>
      </c>
      <c r="I18" s="175">
        <v>18100</v>
      </c>
      <c r="J18" s="175">
        <v>18100</v>
      </c>
      <c r="K18" s="175">
        <v>18100</v>
      </c>
      <c r="L18" s="175">
        <v>22625</v>
      </c>
      <c r="M18" s="175">
        <v>22625</v>
      </c>
      <c r="N18" s="58">
        <f>SUM(B18:M18)</f>
        <v>203625</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81">
        <v>8800</v>
      </c>
      <c r="C20" s="181">
        <v>8800</v>
      </c>
      <c r="D20" s="181">
        <v>8800</v>
      </c>
      <c r="E20" s="181">
        <v>8800</v>
      </c>
      <c r="F20" s="181">
        <v>8800</v>
      </c>
      <c r="G20" s="181">
        <v>8800</v>
      </c>
      <c r="H20" s="181">
        <v>8800</v>
      </c>
      <c r="I20" s="181">
        <v>8800</v>
      </c>
      <c r="J20" s="181">
        <v>8800</v>
      </c>
      <c r="K20" s="181">
        <v>8800</v>
      </c>
      <c r="L20" s="181">
        <v>8800</v>
      </c>
      <c r="M20" s="181">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1537.768</v>
      </c>
      <c r="C27" s="175">
        <f aca="true" t="shared" si="4" ref="C27:M27">(C4*300*30*0.007469)*2+1000</f>
        <v>1537.768</v>
      </c>
      <c r="D27" s="175">
        <f t="shared" si="4"/>
        <v>1537.768</v>
      </c>
      <c r="E27" s="175">
        <f t="shared" si="4"/>
        <v>1537.768</v>
      </c>
      <c r="F27" s="175">
        <f t="shared" si="4"/>
        <v>1537.768</v>
      </c>
      <c r="G27" s="175">
        <f t="shared" si="4"/>
        <v>1537.768</v>
      </c>
      <c r="H27" s="175">
        <f t="shared" si="4"/>
        <v>1672.21</v>
      </c>
      <c r="I27" s="175">
        <f t="shared" si="4"/>
        <v>1672.21</v>
      </c>
      <c r="J27" s="175">
        <f t="shared" si="4"/>
        <v>1672.21</v>
      </c>
      <c r="K27" s="175">
        <f t="shared" si="4"/>
        <v>1672.21</v>
      </c>
      <c r="L27" s="175">
        <f t="shared" si="4"/>
        <v>1672.21</v>
      </c>
      <c r="M27" s="175">
        <f t="shared" si="4"/>
        <v>1806.652</v>
      </c>
      <c r="N27" s="58">
        <f t="shared" si="3"/>
        <v>19394.309999999998</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SUM(B30:M30)</f>
        <v>20004</v>
      </c>
    </row>
    <row r="31" spans="1:14" ht="15">
      <c r="A31" s="169" t="s">
        <v>214</v>
      </c>
      <c r="B31" s="175">
        <f>6500+2*(B5/2)</f>
        <v>13700.399910940912</v>
      </c>
      <c r="C31" s="175">
        <f aca="true" t="shared" si="5" ref="C31:M31">6500+2*(C5/2)</f>
        <v>14060.419906487958</v>
      </c>
      <c r="D31" s="175">
        <f t="shared" si="5"/>
        <v>14438.440901812357</v>
      </c>
      <c r="E31" s="175">
        <f t="shared" si="5"/>
        <v>14835.362946902975</v>
      </c>
      <c r="F31" s="175">
        <f t="shared" si="5"/>
        <v>15252.131094248123</v>
      </c>
      <c r="G31" s="175">
        <f t="shared" si="5"/>
        <v>15689.73764896053</v>
      </c>
      <c r="H31" s="175">
        <f t="shared" si="5"/>
        <v>16149.224531408558</v>
      </c>
      <c r="I31" s="175">
        <f t="shared" si="5"/>
        <v>16631.685757978987</v>
      </c>
      <c r="J31" s="175">
        <f t="shared" si="5"/>
        <v>17138.270045877936</v>
      </c>
      <c r="K31" s="175">
        <f t="shared" si="5"/>
        <v>17670.183548171834</v>
      </c>
      <c r="L31" s="175">
        <f t="shared" si="5"/>
        <v>18228.692725580426</v>
      </c>
      <c r="M31" s="175">
        <f t="shared" si="5"/>
        <v>18815.12736185945</v>
      </c>
      <c r="N31" s="58">
        <f t="shared" si="3"/>
        <v>192609.67638023003</v>
      </c>
    </row>
    <row r="32" spans="1:14" ht="15">
      <c r="A32" s="170" t="s">
        <v>59</v>
      </c>
      <c r="B32" s="175">
        <f aca="true" t="shared" si="6" ref="B32:M32">3400+1*(B4/2)</f>
        <v>3402</v>
      </c>
      <c r="C32" s="175">
        <f t="shared" si="6"/>
        <v>3402</v>
      </c>
      <c r="D32" s="175">
        <f t="shared" si="6"/>
        <v>3402</v>
      </c>
      <c r="E32" s="175">
        <f t="shared" si="6"/>
        <v>3402</v>
      </c>
      <c r="F32" s="175">
        <f t="shared" si="6"/>
        <v>3402</v>
      </c>
      <c r="G32" s="175">
        <f t="shared" si="6"/>
        <v>3402</v>
      </c>
      <c r="H32" s="175">
        <f t="shared" si="6"/>
        <v>3402.5</v>
      </c>
      <c r="I32" s="175">
        <f t="shared" si="6"/>
        <v>3402.5</v>
      </c>
      <c r="J32" s="175">
        <f t="shared" si="6"/>
        <v>3402.5</v>
      </c>
      <c r="K32" s="175">
        <f t="shared" si="6"/>
        <v>3402.5</v>
      </c>
      <c r="L32" s="175">
        <f t="shared" si="6"/>
        <v>3402.5</v>
      </c>
      <c r="M32" s="175">
        <f t="shared" si="6"/>
        <v>3403</v>
      </c>
      <c r="N32" s="58">
        <f t="shared" si="3"/>
        <v>40827.5</v>
      </c>
    </row>
    <row r="33" spans="1:14" ht="15.75" thickBot="1">
      <c r="A33" s="170" t="s">
        <v>58</v>
      </c>
      <c r="B33" s="175">
        <f aca="true" t="shared" si="7" ref="B33:M33">3400+1*(B5/2)</f>
        <v>7000.199955470456</v>
      </c>
      <c r="C33" s="175">
        <f t="shared" si="7"/>
        <v>7180.209953243979</v>
      </c>
      <c r="D33" s="175">
        <f t="shared" si="7"/>
        <v>7369.2204509061785</v>
      </c>
      <c r="E33" s="175">
        <f t="shared" si="7"/>
        <v>7567.681473451487</v>
      </c>
      <c r="F33" s="175">
        <f t="shared" si="7"/>
        <v>7776.065547124062</v>
      </c>
      <c r="G33" s="175">
        <f t="shared" si="7"/>
        <v>7994.868824480265</v>
      </c>
      <c r="H33" s="175">
        <f t="shared" si="7"/>
        <v>8224.61226570428</v>
      </c>
      <c r="I33" s="175">
        <f t="shared" si="7"/>
        <v>8465.842878989493</v>
      </c>
      <c r="J33" s="175">
        <f t="shared" si="7"/>
        <v>8719.135022938968</v>
      </c>
      <c r="K33" s="175">
        <f t="shared" si="7"/>
        <v>8985.091774085917</v>
      </c>
      <c r="L33" s="175">
        <f t="shared" si="7"/>
        <v>9264.346362790213</v>
      </c>
      <c r="M33" s="175">
        <f t="shared" si="7"/>
        <v>9557.563680929725</v>
      </c>
      <c r="N33" s="35">
        <f>SUM(B33:M33)</f>
        <v>98104.83819011501</v>
      </c>
    </row>
    <row r="34" spans="1:14" ht="15.75" thickBot="1">
      <c r="A34" s="171" t="s">
        <v>94</v>
      </c>
      <c r="B34" s="22">
        <f aca="true" t="shared" si="8" ref="B34:M34">B7-SUM(B9:B33)</f>
        <v>211291.6267900432</v>
      </c>
      <c r="C34" s="22">
        <f t="shared" si="8"/>
        <v>232352.79652954568</v>
      </c>
      <c r="D34" s="22">
        <f t="shared" si="8"/>
        <v>49942.02475602296</v>
      </c>
      <c r="E34" s="22">
        <f t="shared" si="8"/>
        <v>273161.9643938241</v>
      </c>
      <c r="F34" s="22">
        <f t="shared" si="8"/>
        <v>293017.9010135154</v>
      </c>
      <c r="G34" s="22">
        <f t="shared" si="8"/>
        <v>314092.88446419104</v>
      </c>
      <c r="H34" s="22">
        <f t="shared" si="8"/>
        <v>336312.9250874007</v>
      </c>
      <c r="I34" s="22">
        <f t="shared" si="8"/>
        <v>164536.90684177075</v>
      </c>
      <c r="J34" s="22">
        <f t="shared" si="8"/>
        <v>389647.08768385905</v>
      </c>
      <c r="K34" s="22">
        <f t="shared" si="8"/>
        <v>416239.02756805206</v>
      </c>
      <c r="L34" s="22">
        <f t="shared" si="8"/>
        <v>444386.81444645487</v>
      </c>
      <c r="M34" s="22">
        <f t="shared" si="8"/>
        <v>474033.2986687778</v>
      </c>
      <c r="N34" s="23">
        <f>SUM(B34:M34)</f>
        <v>3599015.2582434574</v>
      </c>
    </row>
    <row r="37" spans="1:14" ht="15">
      <c r="A37" s="247" t="s">
        <v>292</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
      <selection activeCell="A2" sqref="A2"/>
    </sheetView>
  </sheetViews>
  <sheetFormatPr defaultColWidth="9.140625" defaultRowHeight="15"/>
  <cols>
    <col min="1" max="1" width="27.421875" style="0" customWidth="1"/>
    <col min="2" max="13" width="14.28125" style="0" bestFit="1" customWidth="1"/>
    <col min="14" max="14" width="15.28125" style="0" bestFit="1" customWidth="1"/>
  </cols>
  <sheetData>
    <row r="1" spans="1:14" ht="15">
      <c r="A1" s="57"/>
      <c r="B1" s="101" t="s">
        <v>15</v>
      </c>
      <c r="C1" s="101" t="s">
        <v>35</v>
      </c>
      <c r="D1" s="101" t="s">
        <v>54</v>
      </c>
      <c r="E1" s="25"/>
      <c r="F1" s="25"/>
      <c r="G1" s="25"/>
      <c r="H1" s="25"/>
      <c r="I1" s="25"/>
      <c r="J1" s="25"/>
      <c r="K1" s="25"/>
      <c r="L1" s="25"/>
      <c r="M1" s="25"/>
      <c r="N1" s="27"/>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v>6</v>
      </c>
      <c r="C4" s="177">
        <v>6</v>
      </c>
      <c r="D4" s="177">
        <v>6</v>
      </c>
      <c r="E4" s="177">
        <v>6</v>
      </c>
      <c r="F4" s="177">
        <v>6</v>
      </c>
      <c r="G4" s="177">
        <f>INT(G5/Calcs!$B$21)+1</f>
        <v>7</v>
      </c>
      <c r="H4" s="177">
        <v>7</v>
      </c>
      <c r="I4" s="177">
        <v>7</v>
      </c>
      <c r="J4" s="177">
        <v>7</v>
      </c>
      <c r="K4" s="177">
        <v>7</v>
      </c>
      <c r="L4" s="177">
        <v>8</v>
      </c>
      <c r="M4" s="177">
        <v>8</v>
      </c>
      <c r="N4" s="75"/>
    </row>
    <row r="5" spans="1:14" ht="15">
      <c r="A5" s="169" t="s">
        <v>284</v>
      </c>
      <c r="B5" s="173">
        <f>'FY 4 Most Likely'!M5*1.03</f>
        <v>12684.581182715232</v>
      </c>
      <c r="C5" s="173">
        <f>B5*1.03</f>
        <v>13065.11861819669</v>
      </c>
      <c r="D5" s="173">
        <f aca="true" t="shared" si="0" ref="D5:M5">C5*1.03</f>
        <v>13457.072176742591</v>
      </c>
      <c r="E5" s="173">
        <f t="shared" si="0"/>
        <v>13860.78434204487</v>
      </c>
      <c r="F5" s="173">
        <f t="shared" si="0"/>
        <v>14276.607872306216</v>
      </c>
      <c r="G5" s="173">
        <f t="shared" si="0"/>
        <v>14704.906108475403</v>
      </c>
      <c r="H5" s="173">
        <f t="shared" si="0"/>
        <v>15146.053291729666</v>
      </c>
      <c r="I5" s="173">
        <f t="shared" si="0"/>
        <v>15600.434890481556</v>
      </c>
      <c r="J5" s="173">
        <f t="shared" si="0"/>
        <v>16068.447937196002</v>
      </c>
      <c r="K5" s="173">
        <f t="shared" si="0"/>
        <v>16550.501375311884</v>
      </c>
      <c r="L5" s="173">
        <f t="shared" si="0"/>
        <v>17047.01641657124</v>
      </c>
      <c r="M5" s="173">
        <f t="shared" si="0"/>
        <v>17558.426909068377</v>
      </c>
      <c r="N5" s="127">
        <f>SUM(B5:M5)</f>
        <v>180019.95112083972</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2511547.074177616</v>
      </c>
      <c r="C7" s="31">
        <f aca="true" t="shared" si="1" ref="C7:M7">C5*$D$3</f>
        <v>2586893.4864029447</v>
      </c>
      <c r="D7" s="31">
        <f t="shared" si="1"/>
        <v>2664500.290995033</v>
      </c>
      <c r="E7" s="31">
        <f t="shared" si="1"/>
        <v>2744435.2997248843</v>
      </c>
      <c r="F7" s="31">
        <f t="shared" si="1"/>
        <v>2826768.358716631</v>
      </c>
      <c r="G7" s="31">
        <f t="shared" si="1"/>
        <v>2911571.40947813</v>
      </c>
      <c r="H7" s="31">
        <f t="shared" si="1"/>
        <v>2998918.551762474</v>
      </c>
      <c r="I7" s="31">
        <f t="shared" si="1"/>
        <v>3088886.108315348</v>
      </c>
      <c r="J7" s="31">
        <f t="shared" si="1"/>
        <v>3181552.6915648086</v>
      </c>
      <c r="K7" s="31">
        <f t="shared" si="1"/>
        <v>3276999.272311753</v>
      </c>
      <c r="L7" s="31">
        <f t="shared" si="1"/>
        <v>3375309.250481106</v>
      </c>
      <c r="M7" s="31">
        <f t="shared" si="1"/>
        <v>3476568.527995539</v>
      </c>
      <c r="N7" s="32">
        <f>SUM(B7:M7)</f>
        <v>35643950.32192627</v>
      </c>
    </row>
    <row r="8" spans="1:14" ht="15">
      <c r="A8" s="133"/>
      <c r="B8" s="36"/>
      <c r="C8" s="36"/>
      <c r="D8" s="36"/>
      <c r="E8" s="36"/>
      <c r="F8" s="36"/>
      <c r="G8" s="36"/>
      <c r="H8" s="36"/>
      <c r="I8" s="36"/>
      <c r="J8" s="36"/>
      <c r="K8" s="36"/>
      <c r="L8" s="36"/>
      <c r="M8" s="36"/>
      <c r="N8" s="37"/>
    </row>
    <row r="9" spans="1:14" ht="15">
      <c r="A9" s="169" t="s">
        <v>56</v>
      </c>
      <c r="B9" s="21">
        <f>B5*$B$3</f>
        <v>1750472.203214702</v>
      </c>
      <c r="C9" s="21">
        <f aca="true" t="shared" si="2" ref="C9:M9">C5*$B$3</f>
        <v>1802986.3693111432</v>
      </c>
      <c r="D9" s="21">
        <f t="shared" si="2"/>
        <v>1857075.9603904777</v>
      </c>
      <c r="E9" s="21">
        <f t="shared" si="2"/>
        <v>1912788.239202192</v>
      </c>
      <c r="F9" s="21">
        <f t="shared" si="2"/>
        <v>1970171.8863782578</v>
      </c>
      <c r="G9" s="21">
        <f t="shared" si="2"/>
        <v>2029277.0429696057</v>
      </c>
      <c r="H9" s="21">
        <f t="shared" si="2"/>
        <v>2090155.354258694</v>
      </c>
      <c r="I9" s="21">
        <f t="shared" si="2"/>
        <v>2152860.0148864547</v>
      </c>
      <c r="J9" s="21">
        <f t="shared" si="2"/>
        <v>2217445.8153330483</v>
      </c>
      <c r="K9" s="21">
        <f t="shared" si="2"/>
        <v>2283969.18979304</v>
      </c>
      <c r="L9" s="21">
        <f t="shared" si="2"/>
        <v>2352488.2654868313</v>
      </c>
      <c r="M9" s="21">
        <f t="shared" si="2"/>
        <v>2423062.913451436</v>
      </c>
      <c r="N9" s="32">
        <f>SUM(B9:M9)</f>
        <v>24842753.254675884</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200000</v>
      </c>
      <c r="D11" s="175">
        <v>0</v>
      </c>
      <c r="E11" s="175">
        <v>0</v>
      </c>
      <c r="F11" s="175">
        <v>0</v>
      </c>
      <c r="G11" s="175">
        <v>0</v>
      </c>
      <c r="H11" s="175">
        <v>200000</v>
      </c>
      <c r="I11" s="175">
        <v>0</v>
      </c>
      <c r="J11" s="175">
        <v>0</v>
      </c>
      <c r="K11" s="175">
        <v>0</v>
      </c>
      <c r="L11" s="175">
        <v>0</v>
      </c>
      <c r="M11" s="175">
        <v>0</v>
      </c>
      <c r="N11" s="58">
        <f>SUM(B11:M11)</f>
        <v>400000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aca="true" t="shared" si="3" ref="N14:N29">SUM(B14:M14)</f>
        <v>0</v>
      </c>
    </row>
    <row r="15" spans="1:14" ht="15">
      <c r="A15" s="169" t="s">
        <v>198</v>
      </c>
      <c r="B15" s="175">
        <v>27150</v>
      </c>
      <c r="C15" s="175">
        <v>27150</v>
      </c>
      <c r="D15" s="175">
        <v>27150</v>
      </c>
      <c r="E15" s="175">
        <v>27150</v>
      </c>
      <c r="F15" s="175">
        <v>27150</v>
      </c>
      <c r="G15" s="175">
        <v>31675</v>
      </c>
      <c r="H15" s="175">
        <v>31675</v>
      </c>
      <c r="I15" s="175">
        <v>31675</v>
      </c>
      <c r="J15" s="175">
        <v>31675</v>
      </c>
      <c r="K15" s="175">
        <v>31675</v>
      </c>
      <c r="L15" s="175">
        <v>36200</v>
      </c>
      <c r="M15" s="175">
        <v>36200</v>
      </c>
      <c r="N15" s="58">
        <f t="shared" si="3"/>
        <v>366525</v>
      </c>
    </row>
    <row r="16" spans="1:14" ht="15">
      <c r="A16" s="169" t="s">
        <v>199</v>
      </c>
      <c r="B16" s="175">
        <v>27150</v>
      </c>
      <c r="C16" s="175">
        <v>27150</v>
      </c>
      <c r="D16" s="175">
        <v>27150</v>
      </c>
      <c r="E16" s="175">
        <v>27150</v>
      </c>
      <c r="F16" s="175">
        <v>27150</v>
      </c>
      <c r="G16" s="175">
        <v>27150</v>
      </c>
      <c r="H16" s="175">
        <v>31675</v>
      </c>
      <c r="I16" s="175">
        <v>31675</v>
      </c>
      <c r="J16" s="175">
        <v>31675</v>
      </c>
      <c r="K16" s="175">
        <v>31675</v>
      </c>
      <c r="L16" s="175">
        <v>31675</v>
      </c>
      <c r="M16" s="175">
        <v>36200</v>
      </c>
      <c r="N16" s="58">
        <f t="shared" si="3"/>
        <v>357475</v>
      </c>
    </row>
    <row r="17" spans="1:14" ht="15">
      <c r="A17" s="169" t="s">
        <v>200</v>
      </c>
      <c r="B17" s="175">
        <v>22625</v>
      </c>
      <c r="C17" s="175">
        <v>22625</v>
      </c>
      <c r="D17" s="175">
        <v>27150</v>
      </c>
      <c r="E17" s="175">
        <v>27150</v>
      </c>
      <c r="F17" s="175">
        <v>27150</v>
      </c>
      <c r="G17" s="175">
        <v>27150</v>
      </c>
      <c r="H17" s="175">
        <v>27150</v>
      </c>
      <c r="I17" s="175">
        <v>31675</v>
      </c>
      <c r="J17" s="175">
        <v>31675</v>
      </c>
      <c r="K17" s="175">
        <v>31675</v>
      </c>
      <c r="L17" s="175">
        <v>31675</v>
      </c>
      <c r="M17" s="175">
        <v>31675</v>
      </c>
      <c r="N17" s="58">
        <f t="shared" si="3"/>
        <v>339375</v>
      </c>
    </row>
    <row r="18" spans="1:14" ht="15">
      <c r="A18" s="169" t="s">
        <v>201</v>
      </c>
      <c r="B18" s="175">
        <v>22625</v>
      </c>
      <c r="C18" s="175">
        <v>22625</v>
      </c>
      <c r="D18" s="175">
        <v>22625</v>
      </c>
      <c r="E18" s="175">
        <v>27150</v>
      </c>
      <c r="F18" s="175">
        <v>27150</v>
      </c>
      <c r="G18" s="175">
        <v>27150</v>
      </c>
      <c r="H18" s="175">
        <v>27150</v>
      </c>
      <c r="I18" s="175">
        <v>27150</v>
      </c>
      <c r="J18" s="175">
        <v>27150</v>
      </c>
      <c r="K18" s="175">
        <v>31675</v>
      </c>
      <c r="L18" s="175">
        <v>31675</v>
      </c>
      <c r="M18" s="175">
        <v>31675</v>
      </c>
      <c r="N18" s="58">
        <f>SUM(B18:M18)</f>
        <v>325800</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81">
        <v>8800</v>
      </c>
      <c r="C20" s="181">
        <v>8800</v>
      </c>
      <c r="D20" s="181">
        <v>8800</v>
      </c>
      <c r="E20" s="181">
        <v>8800</v>
      </c>
      <c r="F20" s="181">
        <v>8800</v>
      </c>
      <c r="G20" s="181">
        <v>8800</v>
      </c>
      <c r="H20" s="181">
        <v>8800</v>
      </c>
      <c r="I20" s="181">
        <v>8800</v>
      </c>
      <c r="J20" s="181">
        <v>8800</v>
      </c>
      <c r="K20" s="181">
        <v>8800</v>
      </c>
      <c r="L20" s="181">
        <v>8800</v>
      </c>
      <c r="M20" s="181">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1806.652</v>
      </c>
      <c r="C27" s="175">
        <f aca="true" t="shared" si="4" ref="C27:M27">(C4*300*30*0.007469)*2+1000</f>
        <v>1806.652</v>
      </c>
      <c r="D27" s="175">
        <f t="shared" si="4"/>
        <v>1806.652</v>
      </c>
      <c r="E27" s="175">
        <f t="shared" si="4"/>
        <v>1806.652</v>
      </c>
      <c r="F27" s="175">
        <f t="shared" si="4"/>
        <v>1806.652</v>
      </c>
      <c r="G27" s="175">
        <f t="shared" si="4"/>
        <v>1941.094</v>
      </c>
      <c r="H27" s="175">
        <f t="shared" si="4"/>
        <v>1941.094</v>
      </c>
      <c r="I27" s="175">
        <f t="shared" si="4"/>
        <v>1941.094</v>
      </c>
      <c r="J27" s="175">
        <f t="shared" si="4"/>
        <v>1941.094</v>
      </c>
      <c r="K27" s="175">
        <f t="shared" si="4"/>
        <v>1941.094</v>
      </c>
      <c r="L27" s="175">
        <f t="shared" si="4"/>
        <v>2075.536</v>
      </c>
      <c r="M27" s="175">
        <f t="shared" si="4"/>
        <v>2075.536</v>
      </c>
      <c r="N27" s="58">
        <f t="shared" si="3"/>
        <v>22889.802000000003</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SUM(B30:M30)</f>
        <v>20004</v>
      </c>
    </row>
    <row r="31" spans="1:14" ht="15">
      <c r="A31" s="169" t="s">
        <v>214</v>
      </c>
      <c r="B31" s="175">
        <v>18815.13</v>
      </c>
      <c r="C31" s="175">
        <v>18815.13</v>
      </c>
      <c r="D31" s="175">
        <v>18815.13</v>
      </c>
      <c r="E31" s="175">
        <v>18815.13</v>
      </c>
      <c r="F31" s="175">
        <v>18815.13</v>
      </c>
      <c r="G31" s="175">
        <v>18815.13</v>
      </c>
      <c r="H31" s="175">
        <v>18815.13</v>
      </c>
      <c r="I31" s="175">
        <v>18815.13</v>
      </c>
      <c r="J31" s="175">
        <v>18815.13</v>
      </c>
      <c r="K31" s="175">
        <v>18815.13</v>
      </c>
      <c r="L31" s="175">
        <v>18815.13</v>
      </c>
      <c r="M31" s="175">
        <v>18815.13</v>
      </c>
      <c r="N31" s="58">
        <f>SUM(B31:M31)</f>
        <v>225781.56000000003</v>
      </c>
    </row>
    <row r="32" spans="1:14" ht="15">
      <c r="A32" s="170" t="s">
        <v>59</v>
      </c>
      <c r="B32" s="175">
        <f>3400+(1*(B5-12315.13)/2)+6157.565</f>
        <v>9742.290591357616</v>
      </c>
      <c r="C32" s="175">
        <f aca="true" t="shared" si="5" ref="C32:M32">3400+(1*(C5-12315.13)/2)+6157.565</f>
        <v>9932.559309098346</v>
      </c>
      <c r="D32" s="175">
        <f t="shared" si="5"/>
        <v>10128.536088371297</v>
      </c>
      <c r="E32" s="175">
        <f t="shared" si="5"/>
        <v>10330.392171022435</v>
      </c>
      <c r="F32" s="175">
        <f t="shared" si="5"/>
        <v>10538.303936153108</v>
      </c>
      <c r="G32" s="175">
        <f t="shared" si="5"/>
        <v>10752.453054237702</v>
      </c>
      <c r="H32" s="175">
        <f t="shared" si="5"/>
        <v>10973.026645864833</v>
      </c>
      <c r="I32" s="175">
        <f t="shared" si="5"/>
        <v>11200.217445240778</v>
      </c>
      <c r="J32" s="175">
        <f t="shared" si="5"/>
        <v>11434.223968598002</v>
      </c>
      <c r="K32" s="175">
        <f t="shared" si="5"/>
        <v>11675.250687655942</v>
      </c>
      <c r="L32" s="175">
        <f t="shared" si="5"/>
        <v>11923.50820828562</v>
      </c>
      <c r="M32" s="175">
        <f t="shared" si="5"/>
        <v>12179.213454534189</v>
      </c>
      <c r="N32" s="58">
        <f>SUM(B32:M32)</f>
        <v>130809.97556041989</v>
      </c>
    </row>
    <row r="33" spans="1:14" ht="15.75" thickBot="1">
      <c r="A33" s="170" t="s">
        <v>58</v>
      </c>
      <c r="B33" s="175">
        <f>3400+(1*(B5-12315.13)/2)</f>
        <v>3584.7255913576164</v>
      </c>
      <c r="C33" s="175">
        <f aca="true" t="shared" si="6" ref="C33:M33">3400+(1*(C5-12315.13)/2)</f>
        <v>3774.994309098345</v>
      </c>
      <c r="D33" s="175">
        <f t="shared" si="6"/>
        <v>3970.971088371296</v>
      </c>
      <c r="E33" s="175">
        <f t="shared" si="6"/>
        <v>4172.827171022435</v>
      </c>
      <c r="F33" s="175">
        <f t="shared" si="6"/>
        <v>4380.738936153109</v>
      </c>
      <c r="G33" s="175">
        <f t="shared" si="6"/>
        <v>4594.888054237702</v>
      </c>
      <c r="H33" s="175">
        <f t="shared" si="6"/>
        <v>4815.461645864833</v>
      </c>
      <c r="I33" s="175">
        <f t="shared" si="6"/>
        <v>5042.652445240778</v>
      </c>
      <c r="J33" s="175">
        <f t="shared" si="6"/>
        <v>5276.658968598002</v>
      </c>
      <c r="K33" s="175">
        <f t="shared" si="6"/>
        <v>5517.685687655942</v>
      </c>
      <c r="L33" s="175">
        <f t="shared" si="6"/>
        <v>5765.943208285621</v>
      </c>
      <c r="M33" s="175">
        <f t="shared" si="6"/>
        <v>6021.648454534189</v>
      </c>
      <c r="N33" s="58">
        <f>SUM(B33:M33)</f>
        <v>56919.19556041987</v>
      </c>
    </row>
    <row r="34" spans="1:14" ht="15.75" thickBot="1">
      <c r="A34" s="171" t="s">
        <v>94</v>
      </c>
      <c r="B34" s="22">
        <f aca="true" t="shared" si="7" ref="B34:M34">B7-SUM(B9:B33)</f>
        <v>491309.0727801989</v>
      </c>
      <c r="C34" s="22">
        <f t="shared" si="7"/>
        <v>313760.78147360496</v>
      </c>
      <c r="D34" s="22">
        <f t="shared" si="7"/>
        <v>532361.041427813</v>
      </c>
      <c r="E34" s="22">
        <f t="shared" si="7"/>
        <v>551655.0591806476</v>
      </c>
      <c r="F34" s="22">
        <f t="shared" si="7"/>
        <v>576188.6474660672</v>
      </c>
      <c r="G34" s="22">
        <f t="shared" si="7"/>
        <v>596798.8014000487</v>
      </c>
      <c r="H34" s="22">
        <f t="shared" si="7"/>
        <v>418301.4852120504</v>
      </c>
      <c r="I34" s="22">
        <f t="shared" si="7"/>
        <v>640584.9995384119</v>
      </c>
      <c r="J34" s="22">
        <f t="shared" si="7"/>
        <v>668197.7692945641</v>
      </c>
      <c r="K34" s="22">
        <f t="shared" si="7"/>
        <v>692113.9221434011</v>
      </c>
      <c r="L34" s="22">
        <f t="shared" si="7"/>
        <v>716748.8675777037</v>
      </c>
      <c r="M34" s="22">
        <f t="shared" si="7"/>
        <v>742397.0866350345</v>
      </c>
      <c r="N34" s="23">
        <f>SUM(B34:M34)</f>
        <v>6940417.534129547</v>
      </c>
    </row>
    <row r="37" spans="1:14" ht="15">
      <c r="A37" s="247" t="s">
        <v>292</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44"/>
  <sheetViews>
    <sheetView view="pageLayout" workbookViewId="0" topLeftCell="A1">
      <selection activeCell="A2" sqref="A2"/>
    </sheetView>
  </sheetViews>
  <sheetFormatPr defaultColWidth="9.140625" defaultRowHeight="15"/>
  <cols>
    <col min="1" max="1" width="28.00390625" style="0" customWidth="1"/>
    <col min="2" max="9" width="13.421875" style="0" bestFit="1" customWidth="1"/>
    <col min="10" max="12" width="12.57421875" style="0" bestFit="1" customWidth="1"/>
    <col min="13" max="13" width="14.28125" style="0" bestFit="1" customWidth="1"/>
    <col min="14" max="14" width="14.28125" style="0" customWidth="1"/>
    <col min="15" max="15" width="12.57421875" style="0" bestFit="1" customWidth="1"/>
  </cols>
  <sheetData>
    <row r="1" spans="1:14" ht="15">
      <c r="A1" s="63"/>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3">
        <f>B5/600</f>
        <v>0</v>
      </c>
      <c r="C4" s="173">
        <f aca="true" t="shared" si="0" ref="C4:M4">C5/600</f>
        <v>0</v>
      </c>
      <c r="D4" s="173">
        <f t="shared" si="0"/>
        <v>0</v>
      </c>
      <c r="E4" s="173">
        <f t="shared" si="0"/>
        <v>0</v>
      </c>
      <c r="F4" s="173">
        <f t="shared" si="0"/>
        <v>0</v>
      </c>
      <c r="G4" s="173">
        <f t="shared" si="0"/>
        <v>0</v>
      </c>
      <c r="H4" s="173">
        <f t="shared" si="0"/>
        <v>0</v>
      </c>
      <c r="I4" s="173">
        <f t="shared" si="0"/>
        <v>0</v>
      </c>
      <c r="J4" s="173">
        <f t="shared" si="0"/>
        <v>0</v>
      </c>
      <c r="K4" s="173">
        <f t="shared" si="0"/>
        <v>0</v>
      </c>
      <c r="L4" s="173">
        <f t="shared" si="0"/>
        <v>0</v>
      </c>
      <c r="M4" s="173">
        <f t="shared" si="0"/>
        <v>0</v>
      </c>
      <c r="N4" s="75"/>
    </row>
    <row r="5" spans="1:14" ht="15">
      <c r="A5" s="169" t="s">
        <v>284</v>
      </c>
      <c r="B5" s="173">
        <v>0</v>
      </c>
      <c r="C5" s="173">
        <v>0</v>
      </c>
      <c r="D5" s="173">
        <v>0</v>
      </c>
      <c r="E5" s="173">
        <v>0</v>
      </c>
      <c r="F5" s="173">
        <v>0</v>
      </c>
      <c r="G5" s="173">
        <v>0</v>
      </c>
      <c r="H5" s="173">
        <v>0</v>
      </c>
      <c r="I5" s="173">
        <v>0</v>
      </c>
      <c r="J5" s="173">
        <v>0</v>
      </c>
      <c r="K5" s="173">
        <v>0</v>
      </c>
      <c r="L5" s="173">
        <v>0</v>
      </c>
      <c r="M5" s="173">
        <v>0</v>
      </c>
      <c r="N5" s="127">
        <f>SUM(B5:M5)</f>
        <v>0</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5" ht="15">
      <c r="A7" s="169" t="s">
        <v>55</v>
      </c>
      <c r="B7" s="21">
        <f>B5*$D$3</f>
        <v>0</v>
      </c>
      <c r="C7" s="21">
        <f aca="true" t="shared" si="1" ref="C7:M7">C5*$D$3</f>
        <v>0</v>
      </c>
      <c r="D7" s="21">
        <f t="shared" si="1"/>
        <v>0</v>
      </c>
      <c r="E7" s="21">
        <f t="shared" si="1"/>
        <v>0</v>
      </c>
      <c r="F7" s="21">
        <f t="shared" si="1"/>
        <v>0</v>
      </c>
      <c r="G7" s="21">
        <f t="shared" si="1"/>
        <v>0</v>
      </c>
      <c r="H7" s="21">
        <f t="shared" si="1"/>
        <v>0</v>
      </c>
      <c r="I7" s="21">
        <f t="shared" si="1"/>
        <v>0</v>
      </c>
      <c r="J7" s="21">
        <f t="shared" si="1"/>
        <v>0</v>
      </c>
      <c r="K7" s="21">
        <f t="shared" si="1"/>
        <v>0</v>
      </c>
      <c r="L7" s="21">
        <f t="shared" si="1"/>
        <v>0</v>
      </c>
      <c r="M7" s="21">
        <f t="shared" si="1"/>
        <v>0</v>
      </c>
      <c r="N7" s="58">
        <f>SUM(B7:M7)</f>
        <v>0</v>
      </c>
      <c r="O7" s="2"/>
    </row>
    <row r="8" spans="1:14" ht="15">
      <c r="A8" s="133"/>
      <c r="B8" s="124"/>
      <c r="C8" s="124"/>
      <c r="D8" s="124"/>
      <c r="E8" s="124"/>
      <c r="F8" s="124"/>
      <c r="G8" s="124"/>
      <c r="H8" s="124"/>
      <c r="I8" s="124"/>
      <c r="J8" s="124"/>
      <c r="K8" s="124"/>
      <c r="L8" s="124"/>
      <c r="M8" s="124"/>
      <c r="N8" s="128"/>
    </row>
    <row r="9" spans="1:14" ht="15">
      <c r="A9" s="169" t="s">
        <v>56</v>
      </c>
      <c r="B9" s="21">
        <f>B5*$B$3</f>
        <v>0</v>
      </c>
      <c r="C9" s="21">
        <f aca="true" t="shared" si="2" ref="C9:M9">C5*$B$3</f>
        <v>0</v>
      </c>
      <c r="D9" s="21">
        <f t="shared" si="2"/>
        <v>0</v>
      </c>
      <c r="E9" s="21">
        <f t="shared" si="2"/>
        <v>0</v>
      </c>
      <c r="F9" s="21">
        <f t="shared" si="2"/>
        <v>0</v>
      </c>
      <c r="G9" s="21">
        <f t="shared" si="2"/>
        <v>0</v>
      </c>
      <c r="H9" s="21">
        <f t="shared" si="2"/>
        <v>0</v>
      </c>
      <c r="I9" s="21">
        <f t="shared" si="2"/>
        <v>0</v>
      </c>
      <c r="J9" s="21">
        <f t="shared" si="2"/>
        <v>0</v>
      </c>
      <c r="K9" s="21">
        <f t="shared" si="2"/>
        <v>0</v>
      </c>
      <c r="L9" s="21">
        <f t="shared" si="2"/>
        <v>0</v>
      </c>
      <c r="M9" s="21">
        <f t="shared" si="2"/>
        <v>0</v>
      </c>
      <c r="N9" s="58">
        <f>SUM(B9:M9)</f>
        <v>0</v>
      </c>
    </row>
    <row r="10" spans="1:14" ht="15">
      <c r="A10" s="169" t="s">
        <v>215</v>
      </c>
      <c r="B10" s="175">
        <v>25000</v>
      </c>
      <c r="C10" s="175">
        <v>0</v>
      </c>
      <c r="D10" s="175">
        <v>0</v>
      </c>
      <c r="E10" s="175">
        <v>0</v>
      </c>
      <c r="F10" s="175">
        <v>0</v>
      </c>
      <c r="G10" s="175">
        <v>0</v>
      </c>
      <c r="H10" s="175">
        <v>0</v>
      </c>
      <c r="I10" s="175">
        <v>0</v>
      </c>
      <c r="J10" s="175">
        <v>0</v>
      </c>
      <c r="K10" s="175">
        <v>0</v>
      </c>
      <c r="L10" s="175">
        <v>0</v>
      </c>
      <c r="M10" s="175">
        <v>0</v>
      </c>
      <c r="N10" s="58">
        <f>SUM(B10:M10)</f>
        <v>25000</v>
      </c>
    </row>
    <row r="11" spans="1:14" ht="15">
      <c r="A11" s="169" t="s">
        <v>194</v>
      </c>
      <c r="B11" s="175">
        <v>0</v>
      </c>
      <c r="C11" s="175">
        <v>0</v>
      </c>
      <c r="D11" s="175">
        <v>0</v>
      </c>
      <c r="E11" s="175">
        <v>0</v>
      </c>
      <c r="F11" s="175">
        <v>0</v>
      </c>
      <c r="G11" s="175">
        <v>0</v>
      </c>
      <c r="H11" s="175">
        <v>0</v>
      </c>
      <c r="I11" s="175">
        <v>0</v>
      </c>
      <c r="J11" s="175">
        <v>0</v>
      </c>
      <c r="K11" s="175">
        <v>0</v>
      </c>
      <c r="L11" s="175">
        <v>0</v>
      </c>
      <c r="M11" s="175">
        <v>0</v>
      </c>
      <c r="N11" s="58">
        <f>SUM(B11:M11)</f>
        <v>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3000</v>
      </c>
      <c r="G13" s="175">
        <v>3000</v>
      </c>
      <c r="H13" s="175">
        <v>3000</v>
      </c>
      <c r="I13" s="175">
        <v>3000</v>
      </c>
      <c r="J13" s="175">
        <v>3000</v>
      </c>
      <c r="K13" s="175">
        <v>3000</v>
      </c>
      <c r="L13" s="175">
        <v>3000</v>
      </c>
      <c r="M13" s="175">
        <v>3000</v>
      </c>
      <c r="N13" s="58">
        <f>SUM(B13:M13)</f>
        <v>36000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aca="true" t="shared" si="3" ref="N14:N32">SUM(B14:M14)</f>
        <v>0</v>
      </c>
    </row>
    <row r="15" spans="1:14" ht="15">
      <c r="A15" s="169" t="s">
        <v>198</v>
      </c>
      <c r="B15" s="175">
        <v>0</v>
      </c>
      <c r="C15" s="175">
        <v>0</v>
      </c>
      <c r="D15" s="175">
        <v>0</v>
      </c>
      <c r="E15" s="175">
        <v>0</v>
      </c>
      <c r="F15" s="175">
        <v>0</v>
      </c>
      <c r="G15" s="175">
        <v>0</v>
      </c>
      <c r="H15" s="175">
        <v>0</v>
      </c>
      <c r="I15" s="175">
        <v>0</v>
      </c>
      <c r="J15" s="175">
        <v>0</v>
      </c>
      <c r="K15" s="175">
        <v>0</v>
      </c>
      <c r="L15" s="175">
        <v>0</v>
      </c>
      <c r="M15" s="175">
        <v>0</v>
      </c>
      <c r="N15" s="58">
        <f t="shared" si="3"/>
        <v>0</v>
      </c>
    </row>
    <row r="16" spans="1:14" ht="15">
      <c r="A16" s="169" t="s">
        <v>199</v>
      </c>
      <c r="B16" s="175">
        <v>0</v>
      </c>
      <c r="C16" s="175">
        <v>0</v>
      </c>
      <c r="D16" s="175">
        <v>0</v>
      </c>
      <c r="E16" s="175">
        <v>0</v>
      </c>
      <c r="F16" s="175">
        <v>0</v>
      </c>
      <c r="G16" s="175">
        <v>0</v>
      </c>
      <c r="H16" s="175">
        <v>0</v>
      </c>
      <c r="I16" s="175">
        <v>0</v>
      </c>
      <c r="J16" s="175">
        <v>0</v>
      </c>
      <c r="K16" s="175">
        <v>0</v>
      </c>
      <c r="L16" s="175">
        <v>0</v>
      </c>
      <c r="M16" s="175">
        <v>0</v>
      </c>
      <c r="N16" s="58">
        <f t="shared" si="3"/>
        <v>0</v>
      </c>
    </row>
    <row r="17" spans="1:14" ht="15">
      <c r="A17" s="169" t="s">
        <v>200</v>
      </c>
      <c r="B17" s="175">
        <v>0</v>
      </c>
      <c r="C17" s="175">
        <v>0</v>
      </c>
      <c r="D17" s="175">
        <v>0</v>
      </c>
      <c r="E17" s="175">
        <v>0</v>
      </c>
      <c r="F17" s="175">
        <v>0</v>
      </c>
      <c r="G17" s="175">
        <v>0</v>
      </c>
      <c r="H17" s="175">
        <v>0</v>
      </c>
      <c r="I17" s="175">
        <v>0</v>
      </c>
      <c r="J17" s="175">
        <v>0</v>
      </c>
      <c r="K17" s="175">
        <v>0</v>
      </c>
      <c r="L17" s="175">
        <v>0</v>
      </c>
      <c r="M17" s="175">
        <v>0</v>
      </c>
      <c r="N17" s="58">
        <f t="shared" si="3"/>
        <v>0</v>
      </c>
    </row>
    <row r="18" spans="1:14" ht="15">
      <c r="A18" s="169" t="s">
        <v>201</v>
      </c>
      <c r="B18" s="175">
        <v>0</v>
      </c>
      <c r="C18" s="175">
        <v>0</v>
      </c>
      <c r="D18" s="175">
        <v>0</v>
      </c>
      <c r="E18" s="175">
        <v>0</v>
      </c>
      <c r="F18" s="175">
        <v>0</v>
      </c>
      <c r="G18" s="175">
        <v>0</v>
      </c>
      <c r="H18" s="175">
        <v>0</v>
      </c>
      <c r="I18" s="175">
        <v>0</v>
      </c>
      <c r="J18" s="175">
        <v>0</v>
      </c>
      <c r="K18" s="175">
        <v>0</v>
      </c>
      <c r="L18" s="175">
        <v>0</v>
      </c>
      <c r="M18" s="175">
        <v>0</v>
      </c>
      <c r="N18" s="58">
        <f t="shared" si="3"/>
        <v>0</v>
      </c>
    </row>
    <row r="19" spans="1:14" ht="15">
      <c r="A19" s="169" t="s">
        <v>203</v>
      </c>
      <c r="B19" s="175">
        <v>0</v>
      </c>
      <c r="C19" s="175">
        <v>0</v>
      </c>
      <c r="D19" s="175">
        <v>0</v>
      </c>
      <c r="E19" s="175">
        <v>0</v>
      </c>
      <c r="F19" s="175">
        <v>0</v>
      </c>
      <c r="G19" s="175">
        <v>0</v>
      </c>
      <c r="H19" s="175">
        <v>0</v>
      </c>
      <c r="I19" s="175">
        <v>0</v>
      </c>
      <c r="J19" s="175">
        <v>0</v>
      </c>
      <c r="K19" s="175">
        <v>0</v>
      </c>
      <c r="L19" s="175">
        <v>0</v>
      </c>
      <c r="M19" s="175">
        <v>0</v>
      </c>
      <c r="N19" s="58">
        <f>SUM(B19:M19)</f>
        <v>0</v>
      </c>
    </row>
    <row r="20" spans="1:14" ht="15">
      <c r="A20" s="169" t="s">
        <v>202</v>
      </c>
      <c r="B20" s="175">
        <v>0</v>
      </c>
      <c r="C20" s="175">
        <v>0</v>
      </c>
      <c r="D20" s="175">
        <v>0</v>
      </c>
      <c r="E20" s="175">
        <v>0</v>
      </c>
      <c r="F20" s="175">
        <v>0</v>
      </c>
      <c r="G20" s="175">
        <v>0</v>
      </c>
      <c r="H20" s="175">
        <v>0</v>
      </c>
      <c r="I20" s="175">
        <v>0</v>
      </c>
      <c r="J20" s="175">
        <v>0</v>
      </c>
      <c r="K20" s="175">
        <v>0</v>
      </c>
      <c r="L20" s="175">
        <v>0</v>
      </c>
      <c r="M20" s="175">
        <v>0</v>
      </c>
      <c r="N20" s="58">
        <f>SUM(B20:M20)</f>
        <v>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2750</v>
      </c>
      <c r="C22" s="175">
        <v>2750</v>
      </c>
      <c r="D22" s="175">
        <v>2750</v>
      </c>
      <c r="E22" s="175">
        <v>2750</v>
      </c>
      <c r="F22" s="175">
        <v>2750</v>
      </c>
      <c r="G22" s="175">
        <v>2750</v>
      </c>
      <c r="H22" s="175">
        <v>2750</v>
      </c>
      <c r="I22" s="175">
        <v>2750</v>
      </c>
      <c r="J22" s="175">
        <v>2750</v>
      </c>
      <c r="K22" s="175">
        <v>2750</v>
      </c>
      <c r="L22" s="175">
        <v>2750</v>
      </c>
      <c r="M22" s="175">
        <v>2750</v>
      </c>
      <c r="N22" s="58">
        <f>SUM(B22:M22)</f>
        <v>33000</v>
      </c>
    </row>
    <row r="23" spans="1:14" ht="15">
      <c r="A23" s="169" t="s">
        <v>43</v>
      </c>
      <c r="B23" s="175">
        <v>0</v>
      </c>
      <c r="C23" s="175">
        <v>0</v>
      </c>
      <c r="D23" s="175">
        <v>0</v>
      </c>
      <c r="E23" s="175">
        <v>0</v>
      </c>
      <c r="F23" s="175">
        <v>0</v>
      </c>
      <c r="G23" s="175">
        <v>0</v>
      </c>
      <c r="H23" s="175">
        <v>0</v>
      </c>
      <c r="I23" s="175">
        <v>0</v>
      </c>
      <c r="J23" s="175">
        <v>0</v>
      </c>
      <c r="K23" s="175">
        <v>0</v>
      </c>
      <c r="L23" s="175">
        <v>0</v>
      </c>
      <c r="M23" s="175">
        <v>0</v>
      </c>
      <c r="N23" s="58">
        <f t="shared" si="3"/>
        <v>0</v>
      </c>
    </row>
    <row r="24" spans="1:14" ht="15">
      <c r="A24" s="169" t="s">
        <v>62</v>
      </c>
      <c r="B24" s="175">
        <v>0</v>
      </c>
      <c r="C24" s="175">
        <v>0</v>
      </c>
      <c r="D24" s="175">
        <v>0</v>
      </c>
      <c r="E24" s="175">
        <v>0</v>
      </c>
      <c r="F24" s="175">
        <v>0</v>
      </c>
      <c r="G24" s="175">
        <v>0</v>
      </c>
      <c r="H24" s="175">
        <v>0</v>
      </c>
      <c r="I24" s="175">
        <v>0</v>
      </c>
      <c r="J24" s="175">
        <v>0</v>
      </c>
      <c r="K24" s="175">
        <v>0</v>
      </c>
      <c r="L24" s="175">
        <v>0</v>
      </c>
      <c r="M24" s="175">
        <v>0</v>
      </c>
      <c r="N24" s="58">
        <f t="shared" si="3"/>
        <v>0</v>
      </c>
    </row>
    <row r="25" spans="1:14" ht="15">
      <c r="A25" s="169" t="s">
        <v>96</v>
      </c>
      <c r="B25" s="175">
        <v>3500</v>
      </c>
      <c r="C25" s="175">
        <v>3500</v>
      </c>
      <c r="D25" s="175">
        <v>3500</v>
      </c>
      <c r="E25" s="175">
        <v>3500</v>
      </c>
      <c r="F25" s="175">
        <v>3500</v>
      </c>
      <c r="G25" s="175">
        <v>3500</v>
      </c>
      <c r="H25" s="175">
        <v>3500</v>
      </c>
      <c r="I25" s="175">
        <v>3500</v>
      </c>
      <c r="J25" s="175">
        <v>3500</v>
      </c>
      <c r="K25" s="175">
        <v>3500</v>
      </c>
      <c r="L25" s="175">
        <v>3500</v>
      </c>
      <c r="M25" s="175">
        <v>3500</v>
      </c>
      <c r="N25" s="58">
        <f t="shared" si="3"/>
        <v>42000</v>
      </c>
    </row>
    <row r="26" spans="1:14" ht="15">
      <c r="A26" s="169" t="s">
        <v>45</v>
      </c>
      <c r="B26" s="175">
        <v>500</v>
      </c>
      <c r="C26" s="175">
        <v>500</v>
      </c>
      <c r="D26" s="175">
        <v>500</v>
      </c>
      <c r="E26" s="175">
        <v>500</v>
      </c>
      <c r="F26" s="175">
        <v>500</v>
      </c>
      <c r="G26" s="175">
        <v>500</v>
      </c>
      <c r="H26" s="175">
        <v>500</v>
      </c>
      <c r="I26" s="175">
        <v>500</v>
      </c>
      <c r="J26" s="175">
        <v>500</v>
      </c>
      <c r="K26" s="175">
        <v>500</v>
      </c>
      <c r="L26" s="175">
        <v>500</v>
      </c>
      <c r="M26" s="175">
        <v>500</v>
      </c>
      <c r="N26" s="58">
        <f t="shared" si="3"/>
        <v>6000</v>
      </c>
    </row>
    <row r="27" spans="1:14" ht="15">
      <c r="A27" s="169" t="s">
        <v>46</v>
      </c>
      <c r="B27" s="175">
        <v>250</v>
      </c>
      <c r="C27" s="175">
        <v>250</v>
      </c>
      <c r="D27" s="175">
        <v>250</v>
      </c>
      <c r="E27" s="175">
        <v>250</v>
      </c>
      <c r="F27" s="175">
        <v>250</v>
      </c>
      <c r="G27" s="175">
        <v>250</v>
      </c>
      <c r="H27" s="175">
        <v>250</v>
      </c>
      <c r="I27" s="175">
        <v>250</v>
      </c>
      <c r="J27" s="175">
        <v>250</v>
      </c>
      <c r="K27" s="175">
        <v>250</v>
      </c>
      <c r="L27" s="175">
        <v>250</v>
      </c>
      <c r="M27" s="175">
        <v>250</v>
      </c>
      <c r="N27" s="58">
        <f t="shared" si="3"/>
        <v>3000</v>
      </c>
    </row>
    <row r="28" spans="1:14" ht="15">
      <c r="A28" s="169" t="s">
        <v>48</v>
      </c>
      <c r="B28" s="175">
        <v>1500</v>
      </c>
      <c r="C28" s="175">
        <v>1500</v>
      </c>
      <c r="D28" s="175">
        <v>1500</v>
      </c>
      <c r="E28" s="175">
        <v>1500</v>
      </c>
      <c r="F28" s="175">
        <v>1500</v>
      </c>
      <c r="G28" s="175">
        <v>1500</v>
      </c>
      <c r="H28" s="175">
        <v>1500</v>
      </c>
      <c r="I28" s="175">
        <v>1500</v>
      </c>
      <c r="J28" s="175">
        <v>1500</v>
      </c>
      <c r="K28" s="175">
        <v>1500</v>
      </c>
      <c r="L28" s="175">
        <v>1500</v>
      </c>
      <c r="M28" s="175">
        <v>1500</v>
      </c>
      <c r="N28" s="58">
        <f t="shared" si="3"/>
        <v>18000</v>
      </c>
    </row>
    <row r="29" spans="1:14" ht="15">
      <c r="A29" s="169" t="s">
        <v>50</v>
      </c>
      <c r="B29" s="175">
        <v>0</v>
      </c>
      <c r="C29" s="175">
        <v>0</v>
      </c>
      <c r="D29" s="175">
        <v>0</v>
      </c>
      <c r="E29" s="175">
        <v>0</v>
      </c>
      <c r="F29" s="175">
        <v>0</v>
      </c>
      <c r="G29" s="175">
        <v>0</v>
      </c>
      <c r="H29" s="175">
        <v>0</v>
      </c>
      <c r="I29" s="175">
        <v>0</v>
      </c>
      <c r="J29" s="175">
        <v>0</v>
      </c>
      <c r="K29" s="175">
        <v>0</v>
      </c>
      <c r="L29" s="175">
        <v>0</v>
      </c>
      <c r="M29" s="175">
        <v>0</v>
      </c>
      <c r="N29" s="58">
        <f t="shared" si="3"/>
        <v>0</v>
      </c>
    </row>
    <row r="30" spans="1:14" ht="15">
      <c r="A30" s="169" t="s">
        <v>204</v>
      </c>
      <c r="B30" s="175">
        <v>0</v>
      </c>
      <c r="C30" s="175">
        <v>0</v>
      </c>
      <c r="D30" s="175">
        <v>0</v>
      </c>
      <c r="E30" s="175">
        <v>0</v>
      </c>
      <c r="F30" s="175">
        <v>0</v>
      </c>
      <c r="G30" s="175">
        <v>0</v>
      </c>
      <c r="H30" s="175">
        <v>0</v>
      </c>
      <c r="I30" s="175">
        <v>0</v>
      </c>
      <c r="J30" s="175">
        <v>0</v>
      </c>
      <c r="K30" s="175">
        <v>0</v>
      </c>
      <c r="L30" s="175">
        <v>0</v>
      </c>
      <c r="M30" s="175">
        <v>0</v>
      </c>
      <c r="N30" s="58">
        <f t="shared" si="3"/>
        <v>0</v>
      </c>
    </row>
    <row r="31" spans="1:14" ht="15">
      <c r="A31" s="169" t="s">
        <v>214</v>
      </c>
      <c r="B31" s="175">
        <v>0</v>
      </c>
      <c r="C31" s="175">
        <v>0</v>
      </c>
      <c r="D31" s="175">
        <v>0</v>
      </c>
      <c r="E31" s="175">
        <v>0</v>
      </c>
      <c r="F31" s="175">
        <v>0</v>
      </c>
      <c r="G31" s="175">
        <v>0</v>
      </c>
      <c r="H31" s="175">
        <v>0</v>
      </c>
      <c r="I31" s="175">
        <v>0</v>
      </c>
      <c r="J31" s="175">
        <v>0</v>
      </c>
      <c r="K31" s="175">
        <v>0</v>
      </c>
      <c r="L31" s="175">
        <v>0</v>
      </c>
      <c r="M31" s="175">
        <v>0</v>
      </c>
      <c r="N31" s="58">
        <f t="shared" si="3"/>
        <v>0</v>
      </c>
    </row>
    <row r="32" spans="1:14" ht="15">
      <c r="A32" s="170" t="s">
        <v>59</v>
      </c>
      <c r="B32" s="176">
        <v>0</v>
      </c>
      <c r="C32" s="176">
        <v>0</v>
      </c>
      <c r="D32" s="176">
        <v>0</v>
      </c>
      <c r="E32" s="176">
        <v>0</v>
      </c>
      <c r="F32" s="176">
        <v>0</v>
      </c>
      <c r="G32" s="176">
        <v>0</v>
      </c>
      <c r="H32" s="176">
        <v>0</v>
      </c>
      <c r="I32" s="176">
        <v>0</v>
      </c>
      <c r="J32" s="176">
        <v>0</v>
      </c>
      <c r="K32" s="176">
        <v>0</v>
      </c>
      <c r="L32" s="176">
        <v>0</v>
      </c>
      <c r="M32" s="176">
        <v>0</v>
      </c>
      <c r="N32" s="35">
        <f t="shared" si="3"/>
        <v>0</v>
      </c>
    </row>
    <row r="33" spans="1:14" ht="15.75" thickBot="1">
      <c r="A33" s="170" t="s">
        <v>58</v>
      </c>
      <c r="B33" s="176">
        <v>0</v>
      </c>
      <c r="C33" s="176">
        <v>0</v>
      </c>
      <c r="D33" s="176">
        <v>0</v>
      </c>
      <c r="E33" s="176">
        <v>0</v>
      </c>
      <c r="F33" s="176">
        <v>0</v>
      </c>
      <c r="G33" s="176">
        <v>0</v>
      </c>
      <c r="H33" s="176">
        <v>0</v>
      </c>
      <c r="I33" s="176">
        <v>0</v>
      </c>
      <c r="J33" s="176">
        <v>0</v>
      </c>
      <c r="K33" s="176">
        <v>0</v>
      </c>
      <c r="L33" s="176">
        <v>0</v>
      </c>
      <c r="M33" s="176">
        <v>0</v>
      </c>
      <c r="N33" s="35">
        <f>SUM(B33:M33)</f>
        <v>0</v>
      </c>
    </row>
    <row r="34" spans="1:14" ht="15.75" thickBot="1">
      <c r="A34" s="171" t="s">
        <v>94</v>
      </c>
      <c r="B34" s="22">
        <f aca="true" t="shared" si="4" ref="B34:M34">B7-SUM(B9:B33)</f>
        <v>-47500</v>
      </c>
      <c r="C34" s="22">
        <f t="shared" si="4"/>
        <v>-22500</v>
      </c>
      <c r="D34" s="22">
        <f t="shared" si="4"/>
        <v>-22500</v>
      </c>
      <c r="E34" s="22">
        <f t="shared" si="4"/>
        <v>-22500</v>
      </c>
      <c r="F34" s="22">
        <f t="shared" si="4"/>
        <v>-22500</v>
      </c>
      <c r="G34" s="22">
        <f t="shared" si="4"/>
        <v>-22500</v>
      </c>
      <c r="H34" s="22">
        <f t="shared" si="4"/>
        <v>-22500</v>
      </c>
      <c r="I34" s="22">
        <f t="shared" si="4"/>
        <v>-22500</v>
      </c>
      <c r="J34" s="22">
        <f t="shared" si="4"/>
        <v>-22500</v>
      </c>
      <c r="K34" s="22">
        <f t="shared" si="4"/>
        <v>-22500</v>
      </c>
      <c r="L34" s="22">
        <f t="shared" si="4"/>
        <v>-22500</v>
      </c>
      <c r="M34" s="22">
        <f t="shared" si="4"/>
        <v>-22500</v>
      </c>
      <c r="N34" s="23">
        <f>SUM(B34:M34)</f>
        <v>-295000</v>
      </c>
    </row>
    <row r="37" spans="1:14" ht="15">
      <c r="A37" s="247" t="s">
        <v>293</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45"/>
  <sheetViews>
    <sheetView view="pageLayout" workbookViewId="0" topLeftCell="A1">
      <selection activeCell="A2" sqref="A2"/>
    </sheetView>
  </sheetViews>
  <sheetFormatPr defaultColWidth="9.140625" defaultRowHeight="15"/>
  <cols>
    <col min="1" max="1" width="27.7109375" style="0" customWidth="1"/>
    <col min="2" max="10" width="13.421875" style="0" bestFit="1" customWidth="1"/>
    <col min="11" max="12" width="12.57421875" style="0" bestFit="1" customWidth="1"/>
    <col min="13" max="13" width="14.28125" style="0" bestFit="1" customWidth="1"/>
    <col min="14" max="14" width="15.00390625" style="0" bestFit="1" customWidth="1"/>
    <col min="15" max="15" width="12.5742187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3">
        <f>B5/600</f>
        <v>0</v>
      </c>
      <c r="C4" s="173">
        <f aca="true" t="shared" si="0" ref="C4:H4">C5/600</f>
        <v>0</v>
      </c>
      <c r="D4" s="173">
        <f t="shared" si="0"/>
        <v>0</v>
      </c>
      <c r="E4" s="173">
        <f t="shared" si="0"/>
        <v>0</v>
      </c>
      <c r="F4" s="173">
        <f t="shared" si="0"/>
        <v>0</v>
      </c>
      <c r="G4" s="173">
        <f t="shared" si="0"/>
        <v>0</v>
      </c>
      <c r="H4" s="173">
        <f t="shared" si="0"/>
        <v>0</v>
      </c>
      <c r="I4" s="177">
        <f>INT(I5/Calcs!$B$21)+1</f>
        <v>1</v>
      </c>
      <c r="J4" s="177">
        <f>INT(J5/Calcs!$B$21)+1</f>
        <v>1</v>
      </c>
      <c r="K4" s="177">
        <f>INT(K5/Calcs!$B$21)+1</f>
        <v>1</v>
      </c>
      <c r="L4" s="177">
        <f>INT(L5/Calcs!$B$21)+1</f>
        <v>1</v>
      </c>
      <c r="M4" s="177">
        <f>INT(M5/Calcs!$B$21)+1</f>
        <v>1</v>
      </c>
      <c r="N4" s="75"/>
    </row>
    <row r="5" spans="1:14" ht="15">
      <c r="A5" s="169" t="s">
        <v>284</v>
      </c>
      <c r="B5" s="173">
        <v>0</v>
      </c>
      <c r="C5" s="173">
        <v>0</v>
      </c>
      <c r="D5" s="173">
        <v>0</v>
      </c>
      <c r="E5" s="173">
        <v>0</v>
      </c>
      <c r="F5" s="173">
        <v>0</v>
      </c>
      <c r="G5" s="173">
        <v>0</v>
      </c>
      <c r="H5" s="173">
        <v>0</v>
      </c>
      <c r="I5" s="173">
        <v>80</v>
      </c>
      <c r="J5" s="173">
        <v>160</v>
      </c>
      <c r="K5" s="173">
        <v>320</v>
      </c>
      <c r="L5" s="173">
        <v>640</v>
      </c>
      <c r="M5" s="173">
        <f>L5*1.15</f>
        <v>736</v>
      </c>
      <c r="N5" s="127">
        <f>SUM(B5:M5)</f>
        <v>1936</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5" ht="15">
      <c r="A7" s="169" t="s">
        <v>55</v>
      </c>
      <c r="B7" s="21">
        <f>B5*$D$3</f>
        <v>0</v>
      </c>
      <c r="C7" s="21">
        <f aca="true" t="shared" si="1" ref="C7:M7">C5*$D$3</f>
        <v>0</v>
      </c>
      <c r="D7" s="21">
        <f t="shared" si="1"/>
        <v>0</v>
      </c>
      <c r="E7" s="21">
        <f t="shared" si="1"/>
        <v>0</v>
      </c>
      <c r="F7" s="21">
        <f t="shared" si="1"/>
        <v>0</v>
      </c>
      <c r="G7" s="21">
        <f t="shared" si="1"/>
        <v>0</v>
      </c>
      <c r="H7" s="21">
        <f t="shared" si="1"/>
        <v>0</v>
      </c>
      <c r="I7" s="21">
        <f t="shared" si="1"/>
        <v>15840</v>
      </c>
      <c r="J7" s="21">
        <f t="shared" si="1"/>
        <v>31680</v>
      </c>
      <c r="K7" s="21">
        <f t="shared" si="1"/>
        <v>63360</v>
      </c>
      <c r="L7" s="21">
        <f t="shared" si="1"/>
        <v>126720</v>
      </c>
      <c r="M7" s="21">
        <f t="shared" si="1"/>
        <v>145728</v>
      </c>
      <c r="N7" s="58">
        <f>SUM(B7:M7)</f>
        <v>383328</v>
      </c>
      <c r="O7" s="2"/>
    </row>
    <row r="8" spans="1:14" ht="15">
      <c r="A8" s="133"/>
      <c r="B8" s="124"/>
      <c r="C8" s="124"/>
      <c r="D8" s="124"/>
      <c r="E8" s="124"/>
      <c r="F8" s="124"/>
      <c r="G8" s="124"/>
      <c r="H8" s="124"/>
      <c r="I8" s="124"/>
      <c r="J8" s="124"/>
      <c r="K8" s="124"/>
      <c r="L8" s="124"/>
      <c r="M8" s="124"/>
      <c r="N8" s="128"/>
    </row>
    <row r="9" spans="1:14" ht="15">
      <c r="A9" s="169" t="s">
        <v>56</v>
      </c>
      <c r="B9" s="21">
        <f>B5*$B$3</f>
        <v>0</v>
      </c>
      <c r="C9" s="21">
        <f aca="true" t="shared" si="2" ref="C9:M9">C5*$B$3</f>
        <v>0</v>
      </c>
      <c r="D9" s="21">
        <f t="shared" si="2"/>
        <v>0</v>
      </c>
      <c r="E9" s="21">
        <f t="shared" si="2"/>
        <v>0</v>
      </c>
      <c r="F9" s="21">
        <f t="shared" si="2"/>
        <v>0</v>
      </c>
      <c r="G9" s="21">
        <f t="shared" si="2"/>
        <v>0</v>
      </c>
      <c r="H9" s="21">
        <f t="shared" si="2"/>
        <v>0</v>
      </c>
      <c r="I9" s="21">
        <f t="shared" si="2"/>
        <v>11040</v>
      </c>
      <c r="J9" s="21">
        <f t="shared" si="2"/>
        <v>22080</v>
      </c>
      <c r="K9" s="21">
        <f t="shared" si="2"/>
        <v>44160</v>
      </c>
      <c r="L9" s="21">
        <f t="shared" si="2"/>
        <v>88320</v>
      </c>
      <c r="M9" s="21">
        <f t="shared" si="2"/>
        <v>101568</v>
      </c>
      <c r="N9" s="58">
        <f>SUM(B9:M9)</f>
        <v>267168</v>
      </c>
    </row>
    <row r="10" spans="1:14" ht="15">
      <c r="A10" s="169" t="s">
        <v>215</v>
      </c>
      <c r="B10" s="175">
        <v>0</v>
      </c>
      <c r="C10" s="175">
        <v>0</v>
      </c>
      <c r="D10" s="175">
        <v>0</v>
      </c>
      <c r="E10" s="175">
        <v>0</v>
      </c>
      <c r="F10" s="175">
        <v>0</v>
      </c>
      <c r="G10" s="175">
        <v>0</v>
      </c>
      <c r="H10" s="175">
        <v>0</v>
      </c>
      <c r="I10" s="175">
        <v>0</v>
      </c>
      <c r="J10" s="175">
        <v>0</v>
      </c>
      <c r="K10" s="175">
        <v>0</v>
      </c>
      <c r="L10" s="175">
        <v>0</v>
      </c>
      <c r="M10" s="175">
        <v>0</v>
      </c>
      <c r="N10" s="58">
        <f>SUM(B10:M10)</f>
        <v>0</v>
      </c>
    </row>
    <row r="11" spans="1:14" ht="15">
      <c r="A11" s="169" t="s">
        <v>194</v>
      </c>
      <c r="B11" s="175">
        <v>0</v>
      </c>
      <c r="C11" s="175">
        <v>0</v>
      </c>
      <c r="D11" s="175">
        <v>0</v>
      </c>
      <c r="E11" s="175">
        <v>200000</v>
      </c>
      <c r="F11" s="175">
        <v>0</v>
      </c>
      <c r="G11" s="175">
        <v>0</v>
      </c>
      <c r="H11" s="175">
        <v>0</v>
      </c>
      <c r="I11" s="175">
        <v>0</v>
      </c>
      <c r="J11" s="175">
        <v>0</v>
      </c>
      <c r="K11" s="175">
        <v>0</v>
      </c>
      <c r="L11" s="175">
        <v>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3000</v>
      </c>
      <c r="G13" s="175">
        <v>3000</v>
      </c>
      <c r="H13" s="175">
        <v>3000</v>
      </c>
      <c r="I13" s="175">
        <v>3000</v>
      </c>
      <c r="J13" s="175">
        <v>3000</v>
      </c>
      <c r="K13" s="175">
        <v>3000</v>
      </c>
      <c r="L13" s="175">
        <v>3000</v>
      </c>
      <c r="M13" s="175">
        <v>3000</v>
      </c>
      <c r="N13" s="58">
        <f aca="true" t="shared" si="3" ref="N13:N31">SUM(B13:M13)</f>
        <v>36000</v>
      </c>
    </row>
    <row r="14" spans="1:14" ht="15">
      <c r="A14" s="169" t="s">
        <v>285</v>
      </c>
      <c r="B14" s="175">
        <v>0</v>
      </c>
      <c r="C14" s="175">
        <v>0</v>
      </c>
      <c r="D14" s="175">
        <v>0</v>
      </c>
      <c r="E14" s="175">
        <v>0</v>
      </c>
      <c r="F14" s="175">
        <v>10000</v>
      </c>
      <c r="G14" s="175">
        <v>0</v>
      </c>
      <c r="H14" s="175">
        <v>0</v>
      </c>
      <c r="I14" s="175">
        <v>0</v>
      </c>
      <c r="J14" s="175">
        <v>0</v>
      </c>
      <c r="K14" s="175">
        <v>0</v>
      </c>
      <c r="L14" s="175">
        <v>0</v>
      </c>
      <c r="M14" s="175">
        <v>0</v>
      </c>
      <c r="N14" s="58">
        <f t="shared" si="3"/>
        <v>10000</v>
      </c>
    </row>
    <row r="15" spans="1:14" ht="15">
      <c r="A15" s="169" t="s">
        <v>198</v>
      </c>
      <c r="B15" s="175">
        <v>0</v>
      </c>
      <c r="C15" s="175">
        <v>0</v>
      </c>
      <c r="D15" s="175">
        <v>0</v>
      </c>
      <c r="E15" s="175">
        <v>0</v>
      </c>
      <c r="F15" s="175">
        <v>0</v>
      </c>
      <c r="G15" s="175">
        <v>0</v>
      </c>
      <c r="H15" s="175">
        <v>4525</v>
      </c>
      <c r="I15" s="175">
        <v>4525</v>
      </c>
      <c r="J15" s="175">
        <v>4525</v>
      </c>
      <c r="K15" s="175">
        <v>4525</v>
      </c>
      <c r="L15" s="175">
        <v>4525</v>
      </c>
      <c r="M15" s="175">
        <v>4525</v>
      </c>
      <c r="N15" s="58">
        <f>SUM(B15:M15)</f>
        <v>27150</v>
      </c>
    </row>
    <row r="16" spans="1:14" ht="15">
      <c r="A16" s="169" t="s">
        <v>199</v>
      </c>
      <c r="B16" s="175">
        <v>0</v>
      </c>
      <c r="C16" s="175">
        <v>0</v>
      </c>
      <c r="D16" s="175">
        <v>0</v>
      </c>
      <c r="E16" s="175">
        <v>0</v>
      </c>
      <c r="F16" s="175">
        <v>0</v>
      </c>
      <c r="G16" s="175">
        <v>0</v>
      </c>
      <c r="H16" s="175">
        <v>0</v>
      </c>
      <c r="I16" s="175">
        <v>0</v>
      </c>
      <c r="J16" s="175">
        <v>0</v>
      </c>
      <c r="K16" s="175">
        <v>0</v>
      </c>
      <c r="L16" s="175">
        <v>4525</v>
      </c>
      <c r="M16" s="175">
        <v>4525</v>
      </c>
      <c r="N16" s="58">
        <f t="shared" si="3"/>
        <v>9050</v>
      </c>
    </row>
    <row r="17" spans="1:14" ht="15">
      <c r="A17" s="169" t="s">
        <v>200</v>
      </c>
      <c r="B17" s="175">
        <v>0</v>
      </c>
      <c r="C17" s="175">
        <v>0</v>
      </c>
      <c r="D17" s="175">
        <v>0</v>
      </c>
      <c r="E17" s="175">
        <v>0</v>
      </c>
      <c r="F17" s="175">
        <v>0</v>
      </c>
      <c r="G17" s="175">
        <v>0</v>
      </c>
      <c r="H17" s="175">
        <v>0</v>
      </c>
      <c r="I17" s="175">
        <v>0</v>
      </c>
      <c r="J17" s="175">
        <v>0</v>
      </c>
      <c r="K17" s="175">
        <v>0</v>
      </c>
      <c r="L17" s="175">
        <v>0</v>
      </c>
      <c r="M17" s="175">
        <v>0</v>
      </c>
      <c r="N17" s="58">
        <f t="shared" si="3"/>
        <v>0</v>
      </c>
    </row>
    <row r="18" spans="1:14" ht="15">
      <c r="A18" s="169" t="s">
        <v>201</v>
      </c>
      <c r="B18" s="175">
        <v>0</v>
      </c>
      <c r="C18" s="175">
        <v>0</v>
      </c>
      <c r="D18" s="175">
        <v>0</v>
      </c>
      <c r="E18" s="175">
        <v>0</v>
      </c>
      <c r="F18" s="175">
        <v>0</v>
      </c>
      <c r="G18" s="175">
        <v>0</v>
      </c>
      <c r="H18" s="175">
        <v>0</v>
      </c>
      <c r="I18" s="175">
        <v>0</v>
      </c>
      <c r="J18" s="175">
        <v>0</v>
      </c>
      <c r="K18" s="175">
        <v>0</v>
      </c>
      <c r="L18" s="175">
        <v>0</v>
      </c>
      <c r="M18" s="175">
        <v>0</v>
      </c>
      <c r="N18" s="58">
        <f t="shared" si="3"/>
        <v>0</v>
      </c>
    </row>
    <row r="19" spans="1:14" ht="15">
      <c r="A19" s="169" t="s">
        <v>203</v>
      </c>
      <c r="B19" s="175">
        <v>0</v>
      </c>
      <c r="C19" s="175">
        <v>0</v>
      </c>
      <c r="D19" s="175">
        <v>0</v>
      </c>
      <c r="E19" s="175">
        <v>0</v>
      </c>
      <c r="F19" s="175">
        <v>0</v>
      </c>
      <c r="G19" s="175">
        <v>0</v>
      </c>
      <c r="H19" s="181">
        <v>4400</v>
      </c>
      <c r="I19" s="181">
        <v>4400</v>
      </c>
      <c r="J19" s="181">
        <v>4400</v>
      </c>
      <c r="K19" s="181">
        <v>4400</v>
      </c>
      <c r="L19" s="181">
        <v>8800</v>
      </c>
      <c r="M19" s="181">
        <v>8800</v>
      </c>
      <c r="N19" s="58">
        <f t="shared" si="3"/>
        <v>35200</v>
      </c>
    </row>
    <row r="20" spans="1:14" ht="15">
      <c r="A20" s="169" t="s">
        <v>202</v>
      </c>
      <c r="B20" s="175">
        <v>0</v>
      </c>
      <c r="C20" s="175">
        <v>0</v>
      </c>
      <c r="D20" s="175">
        <v>0</v>
      </c>
      <c r="E20" s="175">
        <v>0</v>
      </c>
      <c r="F20" s="175">
        <v>0</v>
      </c>
      <c r="G20" s="175">
        <v>0</v>
      </c>
      <c r="H20" s="175">
        <v>0</v>
      </c>
      <c r="I20" s="175">
        <v>0</v>
      </c>
      <c r="J20" s="175">
        <v>0</v>
      </c>
      <c r="K20" s="175">
        <v>0</v>
      </c>
      <c r="L20" s="175">
        <v>0</v>
      </c>
      <c r="M20" s="175">
        <v>0</v>
      </c>
      <c r="N20" s="58">
        <f t="shared" si="3"/>
        <v>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 t="shared" si="3"/>
        <v>132000</v>
      </c>
    </row>
    <row r="22" spans="1:14" ht="15">
      <c r="A22" s="169" t="s">
        <v>67</v>
      </c>
      <c r="B22" s="175">
        <v>2750</v>
      </c>
      <c r="C22" s="175">
        <v>2750</v>
      </c>
      <c r="D22" s="175">
        <v>2750</v>
      </c>
      <c r="E22" s="175">
        <v>2750</v>
      </c>
      <c r="F22" s="175">
        <v>2750</v>
      </c>
      <c r="G22" s="175">
        <v>11000</v>
      </c>
      <c r="H22" s="175">
        <v>11000</v>
      </c>
      <c r="I22" s="175">
        <v>11000</v>
      </c>
      <c r="J22" s="175">
        <v>11000</v>
      </c>
      <c r="K22" s="175">
        <v>11000</v>
      </c>
      <c r="L22" s="175">
        <v>11000</v>
      </c>
      <c r="M22" s="175">
        <v>11000</v>
      </c>
      <c r="N22" s="58">
        <f t="shared" si="3"/>
        <v>90750</v>
      </c>
    </row>
    <row r="23" spans="1:14" ht="15">
      <c r="A23" s="169" t="s">
        <v>43</v>
      </c>
      <c r="B23" s="175">
        <v>0</v>
      </c>
      <c r="C23" s="175">
        <v>0</v>
      </c>
      <c r="D23" s="175">
        <v>0</v>
      </c>
      <c r="E23" s="175">
        <v>0</v>
      </c>
      <c r="F23" s="175">
        <v>0</v>
      </c>
      <c r="G23" s="175">
        <v>0</v>
      </c>
      <c r="H23" s="175">
        <v>0</v>
      </c>
      <c r="I23" s="175">
        <v>0</v>
      </c>
      <c r="J23" s="175">
        <v>0</v>
      </c>
      <c r="K23" s="175">
        <v>0</v>
      </c>
      <c r="L23" s="175">
        <v>0</v>
      </c>
      <c r="M23" s="175">
        <v>0</v>
      </c>
      <c r="N23" s="58">
        <f t="shared" si="3"/>
        <v>0</v>
      </c>
    </row>
    <row r="24" spans="1:14" ht="15">
      <c r="A24" s="169" t="s">
        <v>62</v>
      </c>
      <c r="B24" s="175">
        <v>0</v>
      </c>
      <c r="C24" s="175">
        <v>0</v>
      </c>
      <c r="D24" s="175">
        <v>0</v>
      </c>
      <c r="E24" s="175">
        <v>0</v>
      </c>
      <c r="F24" s="175">
        <v>0</v>
      </c>
      <c r="G24" s="175">
        <v>0</v>
      </c>
      <c r="H24" s="175">
        <v>2500</v>
      </c>
      <c r="I24" s="175">
        <v>2500</v>
      </c>
      <c r="J24" s="175">
        <v>2500</v>
      </c>
      <c r="K24" s="175">
        <v>2500</v>
      </c>
      <c r="L24" s="175">
        <v>2500</v>
      </c>
      <c r="M24" s="175">
        <v>2500</v>
      </c>
      <c r="N24" s="58">
        <f t="shared" si="3"/>
        <v>15000</v>
      </c>
    </row>
    <row r="25" spans="1:14" ht="15">
      <c r="A25" s="169" t="s">
        <v>96</v>
      </c>
      <c r="B25" s="175">
        <v>3500</v>
      </c>
      <c r="C25" s="175">
        <v>3500</v>
      </c>
      <c r="D25" s="175">
        <v>3500</v>
      </c>
      <c r="E25" s="175">
        <v>3500</v>
      </c>
      <c r="F25" s="175">
        <v>3500</v>
      </c>
      <c r="G25" s="175">
        <v>3500</v>
      </c>
      <c r="H25" s="175">
        <v>20000</v>
      </c>
      <c r="I25" s="175">
        <v>20000</v>
      </c>
      <c r="J25" s="175">
        <v>20000</v>
      </c>
      <c r="K25" s="175">
        <v>20000</v>
      </c>
      <c r="L25" s="175">
        <v>20000</v>
      </c>
      <c r="M25" s="175">
        <v>20000</v>
      </c>
      <c r="N25" s="58">
        <f t="shared" si="3"/>
        <v>141000</v>
      </c>
    </row>
    <row r="26" spans="1:14" ht="15">
      <c r="A26" s="169" t="s">
        <v>45</v>
      </c>
      <c r="B26" s="175">
        <v>1000</v>
      </c>
      <c r="C26" s="175">
        <v>1000</v>
      </c>
      <c r="D26" s="175">
        <v>1000</v>
      </c>
      <c r="E26" s="175">
        <v>1000</v>
      </c>
      <c r="F26" s="175">
        <v>1000</v>
      </c>
      <c r="G26" s="175">
        <v>1000</v>
      </c>
      <c r="H26" s="175">
        <v>3000</v>
      </c>
      <c r="I26" s="175">
        <v>3000</v>
      </c>
      <c r="J26" s="175">
        <v>3000</v>
      </c>
      <c r="K26" s="175">
        <v>3000</v>
      </c>
      <c r="L26" s="175">
        <v>3000</v>
      </c>
      <c r="M26" s="175">
        <v>3000</v>
      </c>
      <c r="N26" s="58">
        <f t="shared" si="3"/>
        <v>24000</v>
      </c>
    </row>
    <row r="27" spans="1:14" ht="15">
      <c r="A27" s="169" t="s">
        <v>46</v>
      </c>
      <c r="B27" s="175">
        <v>250</v>
      </c>
      <c r="C27" s="175">
        <v>250</v>
      </c>
      <c r="D27" s="175">
        <v>250</v>
      </c>
      <c r="E27" s="175">
        <v>250</v>
      </c>
      <c r="F27" s="175">
        <v>250</v>
      </c>
      <c r="G27" s="175">
        <v>250</v>
      </c>
      <c r="H27" s="175">
        <v>500</v>
      </c>
      <c r="I27" s="175">
        <f>(I4*300*30*0.007469)*2+1000</f>
        <v>1134.442</v>
      </c>
      <c r="J27" s="175">
        <f>(J4*300*30*0.007469)*2+1000</f>
        <v>1134.442</v>
      </c>
      <c r="K27" s="175">
        <f>(K4*300*30*0.007469)*2+1000</f>
        <v>1134.442</v>
      </c>
      <c r="L27" s="175">
        <f>(L4*300*30*0.007469)*2+1000</f>
        <v>1134.442</v>
      </c>
      <c r="M27" s="175">
        <f>(M4*300*30*0.007469)*2+1000</f>
        <v>1134.442</v>
      </c>
      <c r="N27" s="58">
        <f t="shared" si="3"/>
        <v>7672.21</v>
      </c>
    </row>
    <row r="28" spans="1:14" ht="15">
      <c r="A28" s="169" t="s">
        <v>48</v>
      </c>
      <c r="B28" s="175">
        <v>1500</v>
      </c>
      <c r="C28" s="175">
        <v>1500</v>
      </c>
      <c r="D28" s="175">
        <v>1500</v>
      </c>
      <c r="E28" s="175">
        <v>1500</v>
      </c>
      <c r="F28" s="175">
        <v>1500</v>
      </c>
      <c r="G28" s="175">
        <v>1500</v>
      </c>
      <c r="H28" s="175">
        <v>10000</v>
      </c>
      <c r="I28" s="175">
        <v>10000</v>
      </c>
      <c r="J28" s="175">
        <v>10000</v>
      </c>
      <c r="K28" s="175">
        <v>10000</v>
      </c>
      <c r="L28" s="175">
        <v>10000</v>
      </c>
      <c r="M28" s="175">
        <v>10000</v>
      </c>
      <c r="N28" s="58">
        <f t="shared" si="3"/>
        <v>69000</v>
      </c>
    </row>
    <row r="29" spans="1:14" ht="15">
      <c r="A29" s="169" t="s">
        <v>50</v>
      </c>
      <c r="B29" s="175">
        <v>0</v>
      </c>
      <c r="C29" s="175">
        <v>0</v>
      </c>
      <c r="D29" s="175">
        <v>0</v>
      </c>
      <c r="E29" s="175">
        <v>0</v>
      </c>
      <c r="F29" s="175">
        <v>0</v>
      </c>
      <c r="G29" s="175">
        <v>0</v>
      </c>
      <c r="H29" s="175">
        <v>0</v>
      </c>
      <c r="I29" s="175">
        <v>1500</v>
      </c>
      <c r="J29" s="175">
        <v>1500</v>
      </c>
      <c r="K29" s="175">
        <v>1500</v>
      </c>
      <c r="L29" s="175">
        <v>1500</v>
      </c>
      <c r="M29" s="175">
        <v>1500</v>
      </c>
      <c r="N29" s="58">
        <f t="shared" si="3"/>
        <v>7500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v>0</v>
      </c>
      <c r="C31" s="175">
        <v>0</v>
      </c>
      <c r="D31" s="175">
        <v>0</v>
      </c>
      <c r="E31" s="175">
        <v>0</v>
      </c>
      <c r="F31" s="175">
        <v>0</v>
      </c>
      <c r="G31" s="175">
        <f>6500+2*(G5/2)</f>
        <v>6500</v>
      </c>
      <c r="H31" s="175">
        <f aca="true" t="shared" si="4" ref="H31:M31">6500+2*(H5/2)</f>
        <v>6500</v>
      </c>
      <c r="I31" s="175">
        <f t="shared" si="4"/>
        <v>6580</v>
      </c>
      <c r="J31" s="175">
        <f t="shared" si="4"/>
        <v>6660</v>
      </c>
      <c r="K31" s="175">
        <f t="shared" si="4"/>
        <v>6820</v>
      </c>
      <c r="L31" s="175">
        <f t="shared" si="4"/>
        <v>7140</v>
      </c>
      <c r="M31" s="175">
        <f t="shared" si="4"/>
        <v>7236</v>
      </c>
      <c r="N31" s="58">
        <f t="shared" si="3"/>
        <v>47436</v>
      </c>
    </row>
    <row r="32" spans="1:14" ht="15">
      <c r="A32" s="170" t="s">
        <v>59</v>
      </c>
      <c r="B32" s="176">
        <v>0</v>
      </c>
      <c r="C32" s="176">
        <v>0</v>
      </c>
      <c r="D32" s="176">
        <v>0</v>
      </c>
      <c r="E32" s="176">
        <v>0</v>
      </c>
      <c r="F32" s="176">
        <v>0</v>
      </c>
      <c r="G32" s="175">
        <f aca="true" t="shared" si="5" ref="G32:M33">3400+1*(G4/2)</f>
        <v>3400</v>
      </c>
      <c r="H32" s="175">
        <f t="shared" si="5"/>
        <v>3400</v>
      </c>
      <c r="I32" s="175">
        <f t="shared" si="5"/>
        <v>3400.5</v>
      </c>
      <c r="J32" s="175">
        <f t="shared" si="5"/>
        <v>3400.5</v>
      </c>
      <c r="K32" s="175">
        <f t="shared" si="5"/>
        <v>3400.5</v>
      </c>
      <c r="L32" s="175">
        <f t="shared" si="5"/>
        <v>3400.5</v>
      </c>
      <c r="M32" s="175">
        <f t="shared" si="5"/>
        <v>3400.5</v>
      </c>
      <c r="N32" s="58">
        <f>SUM(B32:M32)</f>
        <v>23802.5</v>
      </c>
    </row>
    <row r="33" spans="1:14" ht="15.75" thickBot="1">
      <c r="A33" s="170" t="s">
        <v>58</v>
      </c>
      <c r="B33" s="176">
        <v>0</v>
      </c>
      <c r="C33" s="176">
        <v>0</v>
      </c>
      <c r="D33" s="176">
        <v>0</v>
      </c>
      <c r="E33" s="176">
        <v>0</v>
      </c>
      <c r="F33" s="176">
        <v>0</v>
      </c>
      <c r="G33" s="175">
        <f t="shared" si="5"/>
        <v>3400</v>
      </c>
      <c r="H33" s="175">
        <f t="shared" si="5"/>
        <v>3400</v>
      </c>
      <c r="I33" s="175">
        <f t="shared" si="5"/>
        <v>3440</v>
      </c>
      <c r="J33" s="175">
        <f t="shared" si="5"/>
        <v>3480</v>
      </c>
      <c r="K33" s="175">
        <f t="shared" si="5"/>
        <v>3560</v>
      </c>
      <c r="L33" s="175">
        <f t="shared" si="5"/>
        <v>3720</v>
      </c>
      <c r="M33" s="175">
        <f t="shared" si="5"/>
        <v>3768</v>
      </c>
      <c r="N33" s="35">
        <f>SUM(B33:M33)</f>
        <v>24768</v>
      </c>
    </row>
    <row r="34" spans="1:14" ht="15.75" thickBot="1">
      <c r="A34" s="171" t="s">
        <v>94</v>
      </c>
      <c r="B34" s="22">
        <f aca="true" t="shared" si="6" ref="B34:M34">B7-SUM(B9:B33)</f>
        <v>-24667</v>
      </c>
      <c r="C34" s="22">
        <f t="shared" si="6"/>
        <v>-24667</v>
      </c>
      <c r="D34" s="22">
        <f t="shared" si="6"/>
        <v>-24667</v>
      </c>
      <c r="E34" s="22">
        <f t="shared" si="6"/>
        <v>-224667</v>
      </c>
      <c r="F34" s="22">
        <f t="shared" si="6"/>
        <v>-34667</v>
      </c>
      <c r="G34" s="22">
        <f t="shared" si="6"/>
        <v>-46217</v>
      </c>
      <c r="H34" s="22">
        <f t="shared" si="6"/>
        <v>-84892</v>
      </c>
      <c r="I34" s="22">
        <f t="shared" si="6"/>
        <v>-82346.942</v>
      </c>
      <c r="J34" s="22">
        <f t="shared" si="6"/>
        <v>-77666.942</v>
      </c>
      <c r="K34" s="22">
        <f t="shared" si="6"/>
        <v>-68306.94199999998</v>
      </c>
      <c r="L34" s="22">
        <f t="shared" si="6"/>
        <v>-58511.94200000001</v>
      </c>
      <c r="M34" s="22">
        <f t="shared" si="6"/>
        <v>-52895.94200000001</v>
      </c>
      <c r="N34" s="23">
        <f>SUM(B34:M34)</f>
        <v>-804172.7100000002</v>
      </c>
    </row>
    <row r="35" ht="15">
      <c r="D35" s="2"/>
    </row>
    <row r="37" spans="1:14" ht="15">
      <c r="A37" s="247" t="s">
        <v>292</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3" spans="1:14" ht="15">
      <c r="A43" s="247"/>
      <c r="B43" s="247"/>
      <c r="C43" s="247"/>
      <c r="D43" s="247"/>
      <c r="E43" s="247"/>
      <c r="F43" s="247"/>
      <c r="G43" s="247"/>
      <c r="H43" s="247"/>
      <c r="I43" s="247"/>
      <c r="J43" s="247"/>
      <c r="K43" s="247"/>
      <c r="L43" s="247"/>
      <c r="M43" s="247"/>
      <c r="N43" s="247"/>
    </row>
    <row r="45" spans="2:7" ht="15">
      <c r="B45" s="248" t="s">
        <v>288</v>
      </c>
      <c r="C45" s="248"/>
      <c r="D45" s="248"/>
      <c r="E45" s="248"/>
      <c r="F45" s="248"/>
      <c r="G45" s="248"/>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60" r:id="rId1"/>
  <headerFooter>
    <oddHeader>&amp;C&amp;"-,Bold"&amp;36&amp;UProject Victories Project Selection Tool</oddHeader>
    <oddFooter>&amp;CCopyright The Volpe Consortium, Inc.</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45"/>
  <sheetViews>
    <sheetView view="pageLayout" workbookViewId="0" topLeftCell="A1">
      <selection activeCell="A2" sqref="A2"/>
    </sheetView>
  </sheetViews>
  <sheetFormatPr defaultColWidth="9.140625" defaultRowHeight="15"/>
  <cols>
    <col min="1" max="1" width="28.140625" style="0" bestFit="1" customWidth="1"/>
    <col min="2" max="2" width="13.421875" style="0" bestFit="1" customWidth="1"/>
    <col min="3" max="4" width="12.57421875" style="0" bestFit="1" customWidth="1"/>
    <col min="5" max="5" width="13.421875" style="0" bestFit="1" customWidth="1"/>
    <col min="6" max="13" width="14.28125" style="0" bestFit="1" customWidth="1"/>
    <col min="14" max="14" width="15.2812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f>INT(B5/Calcs!$B$21)+1</f>
        <v>1</v>
      </c>
      <c r="C4" s="177">
        <f>INT(C5/Calcs!$B$21)+1</f>
        <v>1</v>
      </c>
      <c r="D4" s="177">
        <f>INT(D5/Calcs!$B$21)+1</f>
        <v>1</v>
      </c>
      <c r="E4" s="177">
        <f>INT(E5/Calcs!$B$21)+1</f>
        <v>1</v>
      </c>
      <c r="F4" s="177">
        <f>INT(F5/Calcs!$B$21)+1</f>
        <v>1</v>
      </c>
      <c r="G4" s="177">
        <f>INT(G5/Calcs!$B$21)+1</f>
        <v>1</v>
      </c>
      <c r="H4" s="177">
        <f>INT(H5/Calcs!$B$21)+1</f>
        <v>1</v>
      </c>
      <c r="I4" s="177">
        <f>INT(I5/Calcs!$B$21)+1</f>
        <v>1</v>
      </c>
      <c r="J4" s="177">
        <f>INT(J5/Calcs!$B$21)+1</f>
        <v>1</v>
      </c>
      <c r="K4" s="177">
        <f>INT(K5/Calcs!$B$21)+1</f>
        <v>1</v>
      </c>
      <c r="L4" s="177">
        <f>INT(L5/Calcs!$B$21)+1</f>
        <v>1</v>
      </c>
      <c r="M4" s="177">
        <v>1</v>
      </c>
      <c r="N4" s="75"/>
    </row>
    <row r="5" spans="1:14" ht="15">
      <c r="A5" s="169" t="s">
        <v>284</v>
      </c>
      <c r="B5" s="173">
        <f>'FY 1 Worst'!M5*1.1</f>
        <v>809.6</v>
      </c>
      <c r="C5" s="173">
        <f>B5*1.1</f>
        <v>890.5600000000001</v>
      </c>
      <c r="D5" s="173">
        <f aca="true" t="shared" si="0" ref="D5:M5">C5*1.1</f>
        <v>979.6160000000001</v>
      </c>
      <c r="E5" s="173">
        <f t="shared" si="0"/>
        <v>1077.5776000000003</v>
      </c>
      <c r="F5" s="173">
        <f t="shared" si="0"/>
        <v>1185.3353600000005</v>
      </c>
      <c r="G5" s="173">
        <f t="shared" si="0"/>
        <v>1303.8688960000006</v>
      </c>
      <c r="H5" s="173">
        <f t="shared" si="0"/>
        <v>1434.2557856000008</v>
      </c>
      <c r="I5" s="173">
        <f t="shared" si="0"/>
        <v>1577.681364160001</v>
      </c>
      <c r="J5" s="173">
        <f t="shared" si="0"/>
        <v>1735.4495005760014</v>
      </c>
      <c r="K5" s="173">
        <f t="shared" si="0"/>
        <v>1908.9944506336017</v>
      </c>
      <c r="L5" s="173">
        <f t="shared" si="0"/>
        <v>2099.893895696962</v>
      </c>
      <c r="M5" s="173">
        <f t="shared" si="0"/>
        <v>2309.8832852666583</v>
      </c>
      <c r="N5" s="127">
        <f>SUM(B5:M5)</f>
        <v>17312.716137933225</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160300.80000000002</v>
      </c>
      <c r="C7" s="31">
        <f aca="true" t="shared" si="1" ref="C7:M7">C5*$D$3</f>
        <v>176330.88</v>
      </c>
      <c r="D7" s="31">
        <f t="shared" si="1"/>
        <v>193963.96800000002</v>
      </c>
      <c r="E7" s="31">
        <f t="shared" si="1"/>
        <v>213360.36480000007</v>
      </c>
      <c r="F7" s="31">
        <f t="shared" si="1"/>
        <v>234696.4012800001</v>
      </c>
      <c r="G7" s="31">
        <f t="shared" si="1"/>
        <v>258166.04140800014</v>
      </c>
      <c r="H7" s="31">
        <f t="shared" si="1"/>
        <v>283982.6455488001</v>
      </c>
      <c r="I7" s="31">
        <f t="shared" si="1"/>
        <v>312380.9101036802</v>
      </c>
      <c r="J7" s="31">
        <f t="shared" si="1"/>
        <v>343619.0011140483</v>
      </c>
      <c r="K7" s="31">
        <f t="shared" si="1"/>
        <v>377980.9012254531</v>
      </c>
      <c r="L7" s="31">
        <f t="shared" si="1"/>
        <v>415778.99134799844</v>
      </c>
      <c r="M7" s="31">
        <f t="shared" si="1"/>
        <v>457356.89048279834</v>
      </c>
      <c r="N7" s="32">
        <f>SUM(B7:M7)</f>
        <v>3427917.7953107785</v>
      </c>
    </row>
    <row r="8" spans="1:14" ht="15">
      <c r="A8" s="133"/>
      <c r="B8" s="36"/>
      <c r="C8" s="36"/>
      <c r="D8" s="36"/>
      <c r="E8" s="36"/>
      <c r="F8" s="36"/>
      <c r="G8" s="36"/>
      <c r="H8" s="36"/>
      <c r="I8" s="36"/>
      <c r="J8" s="36"/>
      <c r="K8" s="36"/>
      <c r="L8" s="36"/>
      <c r="M8" s="36"/>
      <c r="N8" s="37"/>
    </row>
    <row r="9" spans="1:14" ht="15">
      <c r="A9" s="169" t="s">
        <v>56</v>
      </c>
      <c r="B9" s="21">
        <f>B5*$B$3</f>
        <v>111724.8</v>
      </c>
      <c r="C9" s="21">
        <f aca="true" t="shared" si="2" ref="C9:M9">C5*$B$3</f>
        <v>122897.28000000001</v>
      </c>
      <c r="D9" s="21">
        <f t="shared" si="2"/>
        <v>135187.008</v>
      </c>
      <c r="E9" s="21">
        <f t="shared" si="2"/>
        <v>148705.70880000005</v>
      </c>
      <c r="F9" s="21">
        <f t="shared" si="2"/>
        <v>163576.27968000007</v>
      </c>
      <c r="G9" s="21">
        <f t="shared" si="2"/>
        <v>179933.90764800008</v>
      </c>
      <c r="H9" s="21">
        <f t="shared" si="2"/>
        <v>197927.2984128001</v>
      </c>
      <c r="I9" s="21">
        <f t="shared" si="2"/>
        <v>217720.02825408016</v>
      </c>
      <c r="J9" s="21">
        <f t="shared" si="2"/>
        <v>239492.0310794882</v>
      </c>
      <c r="K9" s="21">
        <f t="shared" si="2"/>
        <v>263441.23418743705</v>
      </c>
      <c r="L9" s="21">
        <f t="shared" si="2"/>
        <v>289785.3576061807</v>
      </c>
      <c r="M9" s="21">
        <f t="shared" si="2"/>
        <v>318763.8933667988</v>
      </c>
      <c r="N9" s="32">
        <f>SUM(B9:M9)</f>
        <v>2389154.827034785</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0</v>
      </c>
      <c r="D11" s="175">
        <v>0</v>
      </c>
      <c r="E11" s="175">
        <v>0</v>
      </c>
      <c r="F11" s="175">
        <v>0</v>
      </c>
      <c r="G11" s="175">
        <v>0</v>
      </c>
      <c r="H11" s="175">
        <v>0</v>
      </c>
      <c r="I11" s="175">
        <v>0</v>
      </c>
      <c r="J11" s="175">
        <v>200000</v>
      </c>
      <c r="K11" s="175">
        <v>0</v>
      </c>
      <c r="L11" s="175">
        <v>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3000</v>
      </c>
      <c r="G13" s="175">
        <v>3000</v>
      </c>
      <c r="H13" s="175">
        <v>3000</v>
      </c>
      <c r="I13" s="175">
        <v>3000</v>
      </c>
      <c r="J13" s="175">
        <v>3000</v>
      </c>
      <c r="K13" s="175">
        <v>25000</v>
      </c>
      <c r="L13" s="175">
        <v>25000</v>
      </c>
      <c r="M13" s="175">
        <v>25000</v>
      </c>
      <c r="N13" s="58">
        <f aca="true" t="shared" si="3" ref="N13:N31">SUM(B13:M13)</f>
        <v>102000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4525</v>
      </c>
      <c r="C15" s="175">
        <v>4525</v>
      </c>
      <c r="D15" s="175">
        <v>4525</v>
      </c>
      <c r="E15" s="175">
        <v>4525</v>
      </c>
      <c r="F15" s="175">
        <v>4525</v>
      </c>
      <c r="G15" s="175">
        <v>4525</v>
      </c>
      <c r="H15" s="175">
        <v>4525</v>
      </c>
      <c r="I15" s="175">
        <v>4525</v>
      </c>
      <c r="J15" s="175">
        <v>4525</v>
      </c>
      <c r="K15" s="175">
        <v>4525</v>
      </c>
      <c r="L15" s="175">
        <v>4525</v>
      </c>
      <c r="M15" s="175">
        <v>4525</v>
      </c>
      <c r="N15" s="58">
        <f t="shared" si="3"/>
        <v>54300</v>
      </c>
    </row>
    <row r="16" spans="1:14" ht="15">
      <c r="A16" s="169" t="s">
        <v>199</v>
      </c>
      <c r="B16" s="175">
        <v>4525</v>
      </c>
      <c r="C16" s="175">
        <v>4525</v>
      </c>
      <c r="D16" s="175">
        <v>4525</v>
      </c>
      <c r="E16" s="175">
        <v>4525</v>
      </c>
      <c r="F16" s="175">
        <v>4525</v>
      </c>
      <c r="G16" s="175">
        <v>4525</v>
      </c>
      <c r="H16" s="175">
        <v>4525</v>
      </c>
      <c r="I16" s="175">
        <v>4525</v>
      </c>
      <c r="J16" s="175">
        <v>4525</v>
      </c>
      <c r="K16" s="175">
        <v>4525</v>
      </c>
      <c r="L16" s="175">
        <v>4525</v>
      </c>
      <c r="M16" s="175">
        <v>4525</v>
      </c>
      <c r="N16" s="58">
        <f t="shared" si="3"/>
        <v>54300</v>
      </c>
    </row>
    <row r="17" spans="1:14" ht="15">
      <c r="A17" s="169" t="s">
        <v>200</v>
      </c>
      <c r="B17" s="175">
        <v>0</v>
      </c>
      <c r="C17" s="175">
        <v>0</v>
      </c>
      <c r="D17" s="175">
        <v>0</v>
      </c>
      <c r="E17" s="175">
        <v>0</v>
      </c>
      <c r="F17" s="175">
        <v>0</v>
      </c>
      <c r="G17" s="175">
        <v>4525</v>
      </c>
      <c r="H17" s="175">
        <v>4525</v>
      </c>
      <c r="I17" s="175">
        <v>4525</v>
      </c>
      <c r="J17" s="175">
        <v>4525</v>
      </c>
      <c r="K17" s="175">
        <v>4525</v>
      </c>
      <c r="L17" s="175">
        <v>4525</v>
      </c>
      <c r="M17" s="175">
        <v>4525</v>
      </c>
      <c r="N17" s="58">
        <f t="shared" si="3"/>
        <v>31675</v>
      </c>
    </row>
    <row r="18" spans="1:14" ht="15">
      <c r="A18" s="169" t="s">
        <v>201</v>
      </c>
      <c r="B18" s="175">
        <v>0</v>
      </c>
      <c r="C18" s="175">
        <v>0</v>
      </c>
      <c r="D18" s="175">
        <v>0</v>
      </c>
      <c r="E18" s="175">
        <v>0</v>
      </c>
      <c r="F18" s="175">
        <v>0</v>
      </c>
      <c r="G18" s="175">
        <v>0</v>
      </c>
      <c r="H18" s="175">
        <v>0</v>
      </c>
      <c r="I18" s="175">
        <v>0</v>
      </c>
      <c r="J18" s="175">
        <v>0</v>
      </c>
      <c r="K18" s="175">
        <v>4525</v>
      </c>
      <c r="L18" s="175">
        <v>4525</v>
      </c>
      <c r="M18" s="175">
        <v>4525</v>
      </c>
      <c r="N18" s="58">
        <f>SUM(B18:M18)</f>
        <v>13575</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75">
        <v>0</v>
      </c>
      <c r="C20" s="175">
        <v>0</v>
      </c>
      <c r="D20" s="175">
        <v>0</v>
      </c>
      <c r="E20" s="175">
        <v>0</v>
      </c>
      <c r="F20" s="175">
        <v>0</v>
      </c>
      <c r="G20" s="175">
        <v>4400</v>
      </c>
      <c r="H20" s="175">
        <v>4400</v>
      </c>
      <c r="I20" s="175">
        <v>4400</v>
      </c>
      <c r="J20" s="175">
        <v>4400</v>
      </c>
      <c r="K20" s="181">
        <v>8800</v>
      </c>
      <c r="L20" s="181">
        <v>8800</v>
      </c>
      <c r="M20" s="181">
        <v>8800</v>
      </c>
      <c r="N20" s="58">
        <f>SUM(B20:M20)</f>
        <v>44000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20000</v>
      </c>
      <c r="C25" s="175">
        <v>20000</v>
      </c>
      <c r="D25" s="175">
        <v>20000</v>
      </c>
      <c r="E25" s="175">
        <v>20000</v>
      </c>
      <c r="F25" s="175">
        <v>20000</v>
      </c>
      <c r="G25" s="175">
        <v>20000</v>
      </c>
      <c r="H25" s="175">
        <v>20000</v>
      </c>
      <c r="I25" s="175">
        <v>20000</v>
      </c>
      <c r="J25" s="175">
        <v>20000</v>
      </c>
      <c r="K25" s="175">
        <v>20000</v>
      </c>
      <c r="L25" s="175">
        <v>20000</v>
      </c>
      <c r="M25" s="175">
        <v>20000</v>
      </c>
      <c r="N25" s="58">
        <f t="shared" si="3"/>
        <v>240000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1134.442</v>
      </c>
      <c r="C27" s="175">
        <f aca="true" t="shared" si="4" ref="C27:M27">(C4*300*30*0.007469)*2+1000</f>
        <v>1134.442</v>
      </c>
      <c r="D27" s="175">
        <f t="shared" si="4"/>
        <v>1134.442</v>
      </c>
      <c r="E27" s="175">
        <f t="shared" si="4"/>
        <v>1134.442</v>
      </c>
      <c r="F27" s="175">
        <f t="shared" si="4"/>
        <v>1134.442</v>
      </c>
      <c r="G27" s="175">
        <f t="shared" si="4"/>
        <v>1134.442</v>
      </c>
      <c r="H27" s="175">
        <f t="shared" si="4"/>
        <v>1134.442</v>
      </c>
      <c r="I27" s="175">
        <f t="shared" si="4"/>
        <v>1134.442</v>
      </c>
      <c r="J27" s="175">
        <f t="shared" si="4"/>
        <v>1134.442</v>
      </c>
      <c r="K27" s="175">
        <f t="shared" si="4"/>
        <v>1134.442</v>
      </c>
      <c r="L27" s="175">
        <f t="shared" si="4"/>
        <v>1134.442</v>
      </c>
      <c r="M27" s="175">
        <f t="shared" si="4"/>
        <v>1134.442</v>
      </c>
      <c r="N27" s="58">
        <f t="shared" si="3"/>
        <v>13613.303999999996</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f>6500+2*(B5/2)</f>
        <v>7309.6</v>
      </c>
      <c r="C31" s="175">
        <f aca="true" t="shared" si="5" ref="C31:M31">6500+2*(C5/2)</f>
        <v>7390.56</v>
      </c>
      <c r="D31" s="175">
        <f t="shared" si="5"/>
        <v>7479.616</v>
      </c>
      <c r="E31" s="175">
        <f t="shared" si="5"/>
        <v>7577.5776000000005</v>
      </c>
      <c r="F31" s="175">
        <f t="shared" si="5"/>
        <v>7685.335360000001</v>
      </c>
      <c r="G31" s="175">
        <f t="shared" si="5"/>
        <v>7803.868896000001</v>
      </c>
      <c r="H31" s="175">
        <f t="shared" si="5"/>
        <v>7934.2557856</v>
      </c>
      <c r="I31" s="175">
        <f t="shared" si="5"/>
        <v>8077.681364160001</v>
      </c>
      <c r="J31" s="175">
        <f t="shared" si="5"/>
        <v>8235.449500576002</v>
      </c>
      <c r="K31" s="175">
        <f t="shared" si="5"/>
        <v>8408.994450633601</v>
      </c>
      <c r="L31" s="175">
        <f t="shared" si="5"/>
        <v>8599.893895696961</v>
      </c>
      <c r="M31" s="175">
        <f t="shared" si="5"/>
        <v>8809.883285266658</v>
      </c>
      <c r="N31" s="58">
        <f t="shared" si="3"/>
        <v>95312.71613793322</v>
      </c>
    </row>
    <row r="32" spans="1:14" ht="15">
      <c r="A32" s="170" t="s">
        <v>59</v>
      </c>
      <c r="B32" s="175">
        <f aca="true" t="shared" si="6" ref="B32:M32">3400+1*(B4/2)</f>
        <v>3400.5</v>
      </c>
      <c r="C32" s="175">
        <f t="shared" si="6"/>
        <v>3400.5</v>
      </c>
      <c r="D32" s="175">
        <f t="shared" si="6"/>
        <v>3400.5</v>
      </c>
      <c r="E32" s="175">
        <f t="shared" si="6"/>
        <v>3400.5</v>
      </c>
      <c r="F32" s="175">
        <f t="shared" si="6"/>
        <v>3400.5</v>
      </c>
      <c r="G32" s="175">
        <f t="shared" si="6"/>
        <v>3400.5</v>
      </c>
      <c r="H32" s="175">
        <f t="shared" si="6"/>
        <v>3400.5</v>
      </c>
      <c r="I32" s="175">
        <f t="shared" si="6"/>
        <v>3400.5</v>
      </c>
      <c r="J32" s="175">
        <f t="shared" si="6"/>
        <v>3400.5</v>
      </c>
      <c r="K32" s="175">
        <f t="shared" si="6"/>
        <v>3400.5</v>
      </c>
      <c r="L32" s="175">
        <f t="shared" si="6"/>
        <v>3400.5</v>
      </c>
      <c r="M32" s="175">
        <f t="shared" si="6"/>
        <v>3400.5</v>
      </c>
      <c r="N32" s="32">
        <f>SUM(B32:M32)</f>
        <v>40806</v>
      </c>
    </row>
    <row r="33" spans="1:14" ht="15.75" thickBot="1">
      <c r="A33" s="170" t="s">
        <v>58</v>
      </c>
      <c r="B33" s="175">
        <f aca="true" t="shared" si="7" ref="B33:M33">3400+1*(B5/2)</f>
        <v>3804.8</v>
      </c>
      <c r="C33" s="175">
        <f t="shared" si="7"/>
        <v>3845.28</v>
      </c>
      <c r="D33" s="175">
        <f t="shared" si="7"/>
        <v>3889.808</v>
      </c>
      <c r="E33" s="175">
        <f t="shared" si="7"/>
        <v>3938.7888000000003</v>
      </c>
      <c r="F33" s="175">
        <f t="shared" si="7"/>
        <v>3992.6676800000005</v>
      </c>
      <c r="G33" s="175">
        <f t="shared" si="7"/>
        <v>4051.9344480000004</v>
      </c>
      <c r="H33" s="175">
        <f t="shared" si="7"/>
        <v>4117.1278928</v>
      </c>
      <c r="I33" s="175">
        <f t="shared" si="7"/>
        <v>4188.840682080001</v>
      </c>
      <c r="J33" s="175">
        <f t="shared" si="7"/>
        <v>4267.724750288001</v>
      </c>
      <c r="K33" s="175">
        <f t="shared" si="7"/>
        <v>4354.497225316801</v>
      </c>
      <c r="L33" s="175">
        <f t="shared" si="7"/>
        <v>4449.946947848481</v>
      </c>
      <c r="M33" s="175">
        <f t="shared" si="7"/>
        <v>4554.941642633329</v>
      </c>
      <c r="N33" s="35">
        <f>SUM(B33:M33)</f>
        <v>49456.35806896661</v>
      </c>
    </row>
    <row r="34" spans="1:14" ht="15.75" thickBot="1">
      <c r="A34" s="171" t="s">
        <v>94</v>
      </c>
      <c r="B34" s="22">
        <f aca="true" t="shared" si="8" ref="B34:M34">B7-SUM(B9:B33)</f>
        <v>-61590.341999999975</v>
      </c>
      <c r="C34" s="22">
        <f t="shared" si="8"/>
        <v>-56854.18200000003</v>
      </c>
      <c r="D34" s="22">
        <f t="shared" si="8"/>
        <v>-51644.40599999999</v>
      </c>
      <c r="E34" s="22">
        <f t="shared" si="8"/>
        <v>-45913.65239999999</v>
      </c>
      <c r="F34" s="22">
        <f t="shared" si="8"/>
        <v>-39609.82344000001</v>
      </c>
      <c r="G34" s="22">
        <f t="shared" si="8"/>
        <v>-41600.61158399991</v>
      </c>
      <c r="H34" s="22">
        <f t="shared" si="8"/>
        <v>-33972.97854239994</v>
      </c>
      <c r="I34" s="22">
        <f t="shared" si="8"/>
        <v>-25582.58219663991</v>
      </c>
      <c r="J34" s="22">
        <f t="shared" si="8"/>
        <v>-216353.14621630393</v>
      </c>
      <c r="K34" s="22">
        <f t="shared" si="8"/>
        <v>-37125.76663793431</v>
      </c>
      <c r="L34" s="22">
        <f t="shared" si="8"/>
        <v>-25958.1491017277</v>
      </c>
      <c r="M34" s="22">
        <f t="shared" si="8"/>
        <v>-13673.769811900449</v>
      </c>
      <c r="N34" s="23">
        <f>SUM(B34:M34)</f>
        <v>-649879.4099309061</v>
      </c>
    </row>
    <row r="37" spans="1:14" ht="15">
      <c r="A37" s="247" t="s">
        <v>293</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3" spans="1:14" ht="15">
      <c r="A43" s="247"/>
      <c r="B43" s="247"/>
      <c r="C43" s="247"/>
      <c r="D43" s="247"/>
      <c r="E43" s="247"/>
      <c r="F43" s="247"/>
      <c r="G43" s="247"/>
      <c r="H43" s="247"/>
      <c r="I43" s="247"/>
      <c r="J43" s="247"/>
      <c r="K43" s="247"/>
      <c r="L43" s="247"/>
      <c r="M43" s="247"/>
      <c r="N43" s="247"/>
    </row>
    <row r="45" spans="2:7" ht="15">
      <c r="B45" s="248" t="s">
        <v>288</v>
      </c>
      <c r="C45" s="248"/>
      <c r="D45" s="248"/>
      <c r="E45" s="248"/>
      <c r="F45" s="248"/>
      <c r="G45" s="248"/>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8" r:id="rId1"/>
  <headerFooter>
    <oddHeader>&amp;C&amp;"-,Bold"&amp;36&amp;UProject Victories Project Selection Tool</oddHeader>
    <oddFooter>&amp;CCopyright The Volpe Consortium, Inc.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47"/>
  <sheetViews>
    <sheetView view="pageLayout" workbookViewId="0" topLeftCell="A1">
      <selection activeCell="A2" sqref="A2"/>
    </sheetView>
  </sheetViews>
  <sheetFormatPr defaultColWidth="9.140625" defaultRowHeight="15"/>
  <cols>
    <col min="1" max="1" width="28.140625" style="0" customWidth="1"/>
    <col min="2" max="2" width="14.28125" style="0" bestFit="1" customWidth="1"/>
    <col min="3" max="3" width="15.00390625" style="0" bestFit="1" customWidth="1"/>
    <col min="4" max="4" width="14.281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63"/>
      <c r="B1" s="101" t="s">
        <v>15</v>
      </c>
      <c r="C1" s="101" t="s">
        <v>35</v>
      </c>
      <c r="D1" s="101" t="s">
        <v>54</v>
      </c>
      <c r="E1" s="125"/>
      <c r="F1" s="125"/>
      <c r="G1" s="125"/>
      <c r="H1" s="126"/>
      <c r="K1" s="186"/>
      <c r="L1" s="186"/>
      <c r="M1" s="186"/>
      <c r="N1" s="186"/>
      <c r="O1" s="186"/>
      <c r="P1" s="186"/>
      <c r="Q1" s="186"/>
      <c r="R1" s="208"/>
    </row>
    <row r="2" spans="1:18" ht="18.75">
      <c r="A2" s="169" t="s">
        <v>281</v>
      </c>
      <c r="B2" s="172">
        <f>Calcs!E22</f>
        <v>11.504463131543012</v>
      </c>
      <c r="C2" s="172">
        <f>Calcs!F22</f>
        <v>4.995536868456988</v>
      </c>
      <c r="D2" s="122">
        <f>B2+C2</f>
        <v>16.5</v>
      </c>
      <c r="E2" s="74"/>
      <c r="F2" s="74"/>
      <c r="G2" s="74"/>
      <c r="H2" s="75"/>
      <c r="K2" s="186"/>
      <c r="L2" s="186"/>
      <c r="M2" s="186"/>
      <c r="N2" s="186"/>
      <c r="O2" s="186"/>
      <c r="P2" s="186"/>
      <c r="Q2" s="186"/>
      <c r="R2" s="187"/>
    </row>
    <row r="3" spans="1:18" ht="15">
      <c r="A3" s="169" t="s">
        <v>282</v>
      </c>
      <c r="B3" s="172">
        <f>Calcs!E23</f>
        <v>138</v>
      </c>
      <c r="C3" s="172">
        <f>Calcs!F23</f>
        <v>60</v>
      </c>
      <c r="D3" s="122">
        <f>SUM(B3:C3)</f>
        <v>198</v>
      </c>
      <c r="E3" s="74"/>
      <c r="F3" s="74"/>
      <c r="G3" s="74"/>
      <c r="H3" s="75"/>
      <c r="K3" s="188"/>
      <c r="L3" s="189"/>
      <c r="M3" s="189"/>
      <c r="N3" s="189"/>
      <c r="O3" s="189"/>
      <c r="P3" s="189"/>
      <c r="Q3" s="189"/>
      <c r="R3" s="189"/>
    </row>
    <row r="4" spans="1:18" ht="15">
      <c r="A4" s="169" t="s">
        <v>283</v>
      </c>
      <c r="B4" s="197">
        <v>1</v>
      </c>
      <c r="C4" s="197">
        <v>1</v>
      </c>
      <c r="D4" s="197">
        <v>4</v>
      </c>
      <c r="E4" s="197">
        <v>6</v>
      </c>
      <c r="F4" s="197">
        <v>10</v>
      </c>
      <c r="G4" s="197">
        <v>12</v>
      </c>
      <c r="H4" s="198"/>
      <c r="K4" s="147"/>
      <c r="L4" s="150"/>
      <c r="M4" s="150"/>
      <c r="N4" s="150"/>
      <c r="O4" s="150"/>
      <c r="P4" s="150"/>
      <c r="Q4" s="150"/>
      <c r="R4" s="150"/>
    </row>
    <row r="5" spans="1:18" ht="15">
      <c r="A5" s="169" t="s">
        <v>284</v>
      </c>
      <c r="B5" s="195">
        <f>'FY 0 Best'!N5</f>
        <v>0</v>
      </c>
      <c r="C5" s="195">
        <f>'FY 1 Best'!N5</f>
        <v>9243.588899999999</v>
      </c>
      <c r="D5" s="195">
        <f>'FY 2 Best'!N5</f>
        <v>45420.0730945816</v>
      </c>
      <c r="E5" s="195">
        <f>'FY 3 Best'!N5</f>
        <v>101280.68363815409</v>
      </c>
      <c r="F5" s="195">
        <f>'FY 4 Best'!N5</f>
        <v>181885.55641542506</v>
      </c>
      <c r="G5" s="195">
        <f>'FY 5 Best'!N5</f>
        <v>285691.6624287726</v>
      </c>
      <c r="H5" s="196">
        <f>SUM(B5:G5)</f>
        <v>623521.5644769333</v>
      </c>
      <c r="K5" s="145"/>
      <c r="L5" s="145"/>
      <c r="M5" s="145"/>
      <c r="N5" s="145"/>
      <c r="O5" s="145"/>
      <c r="P5" s="145"/>
      <c r="Q5" s="145"/>
      <c r="R5" s="139"/>
    </row>
    <row r="6" spans="1:18" ht="15">
      <c r="A6" s="169" t="s">
        <v>68</v>
      </c>
      <c r="B6" s="174" t="s">
        <v>75</v>
      </c>
      <c r="C6" s="174" t="s">
        <v>69</v>
      </c>
      <c r="D6" s="174" t="s">
        <v>73</v>
      </c>
      <c r="E6" s="174" t="s">
        <v>74</v>
      </c>
      <c r="F6" s="174" t="s">
        <v>76</v>
      </c>
      <c r="G6" s="174" t="s">
        <v>77</v>
      </c>
      <c r="H6" s="194" t="s">
        <v>216</v>
      </c>
      <c r="K6" s="147"/>
      <c r="L6" s="150"/>
      <c r="M6" s="150"/>
      <c r="N6" s="150"/>
      <c r="O6" s="150"/>
      <c r="P6" s="150"/>
      <c r="Q6" s="150"/>
      <c r="R6" s="150"/>
    </row>
    <row r="7" spans="1:18" ht="15">
      <c r="A7" s="169" t="s">
        <v>55</v>
      </c>
      <c r="B7" s="31">
        <f>'FY 0 Best'!N7</f>
        <v>0</v>
      </c>
      <c r="C7" s="31">
        <f>'FY 1 Best'!N7</f>
        <v>1830230.6021999996</v>
      </c>
      <c r="D7" s="31">
        <f>'FY 2 Best'!N7</f>
        <v>8993174.472727157</v>
      </c>
      <c r="E7" s="31">
        <f>'FY 3 Best'!N7</f>
        <v>20053575.36035451</v>
      </c>
      <c r="F7" s="31">
        <f>'FY 4 Best'!N7</f>
        <v>36013340.17025416</v>
      </c>
      <c r="G7" s="31">
        <f>'FY 5 Best'!N7</f>
        <v>56566949.16089698</v>
      </c>
      <c r="H7" s="61">
        <f aca="true" t="shared" si="0" ref="H7:H34">SUM(B7:G7)</f>
        <v>123457269.7664328</v>
      </c>
      <c r="K7" s="147"/>
      <c r="L7" s="150"/>
      <c r="M7" s="150"/>
      <c r="N7" s="150"/>
      <c r="O7" s="150"/>
      <c r="P7" s="150"/>
      <c r="Q7" s="150"/>
      <c r="R7" s="189"/>
    </row>
    <row r="8" spans="1:18" ht="15">
      <c r="A8" s="193"/>
      <c r="B8" s="36"/>
      <c r="C8" s="36"/>
      <c r="D8" s="36"/>
      <c r="E8" s="36"/>
      <c r="F8" s="36"/>
      <c r="G8" s="36"/>
      <c r="H8" s="134"/>
      <c r="K8" s="147"/>
      <c r="L8" s="150"/>
      <c r="M8" s="150"/>
      <c r="N8" s="150"/>
      <c r="O8" s="150"/>
      <c r="P8" s="150"/>
      <c r="Q8" s="150"/>
      <c r="R8" s="150"/>
    </row>
    <row r="9" spans="1:18" ht="15">
      <c r="A9" s="169" t="s">
        <v>56</v>
      </c>
      <c r="B9" s="31">
        <f>'FY 0 Best'!N9</f>
        <v>0</v>
      </c>
      <c r="C9" s="31">
        <f>'FY 1 Best'!N9</f>
        <v>1275615.2682</v>
      </c>
      <c r="D9" s="31">
        <f>'FY 2 Best'!N9</f>
        <v>6267970.087052261</v>
      </c>
      <c r="E9" s="31">
        <f>'FY 3 Best'!N9</f>
        <v>13976734.342065265</v>
      </c>
      <c r="F9" s="31">
        <f>'FY 4 Best'!N9</f>
        <v>25100206.785328664</v>
      </c>
      <c r="G9" s="31">
        <f>'FY 5 Best'!N9</f>
        <v>39425449.41517062</v>
      </c>
      <c r="H9" s="61">
        <f t="shared" si="0"/>
        <v>86045975.8978168</v>
      </c>
      <c r="K9" s="147"/>
      <c r="L9" s="150"/>
      <c r="M9" s="150"/>
      <c r="N9" s="150"/>
      <c r="O9" s="150"/>
      <c r="P9" s="150"/>
      <c r="Q9" s="150"/>
      <c r="R9" s="150"/>
    </row>
    <row r="10" spans="1:18" ht="15">
      <c r="A10" s="169" t="s">
        <v>215</v>
      </c>
      <c r="B10" s="31">
        <f>'FY 0 Best'!N10</f>
        <v>25000</v>
      </c>
      <c r="C10" s="31">
        <f>'FY 1 Best'!N10</f>
        <v>0</v>
      </c>
      <c r="D10" s="31">
        <f>'FY 2 Best'!N10</f>
        <v>0</v>
      </c>
      <c r="E10" s="31">
        <f>'FY 3 Best'!N10</f>
        <v>0</v>
      </c>
      <c r="F10" s="31">
        <f>'FY 4 Best'!N10</f>
        <v>0</v>
      </c>
      <c r="G10" s="31">
        <f>'FY 5 Best'!N10</f>
        <v>0</v>
      </c>
      <c r="H10" s="61">
        <f t="shared" si="0"/>
        <v>25000</v>
      </c>
      <c r="K10" s="147"/>
      <c r="L10" s="190"/>
      <c r="M10" s="190"/>
      <c r="N10" s="190"/>
      <c r="O10" s="190"/>
      <c r="P10" s="190"/>
      <c r="Q10" s="190"/>
      <c r="R10" s="190"/>
    </row>
    <row r="11" spans="1:18" ht="15">
      <c r="A11" s="169" t="s">
        <v>194</v>
      </c>
      <c r="B11" s="31">
        <f>'FY 0 Best'!N11</f>
        <v>200000</v>
      </c>
      <c r="C11" s="31">
        <f>'FY 1 Best'!N11</f>
        <v>200000</v>
      </c>
      <c r="D11" s="31">
        <f>'FY 2 Best'!N11</f>
        <v>400000</v>
      </c>
      <c r="E11" s="31">
        <f>'FY 3 Best'!N11</f>
        <v>400000</v>
      </c>
      <c r="F11" s="31">
        <f>'FY 4 Best'!N11</f>
        <v>800000</v>
      </c>
      <c r="G11" s="31">
        <f>'FY 5 Best'!N11</f>
        <v>400000</v>
      </c>
      <c r="H11" s="61">
        <f t="shared" si="0"/>
        <v>2400000</v>
      </c>
      <c r="K11" s="147"/>
      <c r="L11" s="102"/>
      <c r="M11" s="102"/>
      <c r="N11" s="102"/>
      <c r="O11" s="102"/>
      <c r="P11" s="102"/>
      <c r="Q11" s="102"/>
      <c r="R11" s="102"/>
    </row>
    <row r="12" spans="1:18" ht="15">
      <c r="A12" s="169" t="s">
        <v>208</v>
      </c>
      <c r="B12" s="31">
        <f>'FY 0 Best'!N12</f>
        <v>0</v>
      </c>
      <c r="C12" s="31">
        <f>'FY 1 Best'!N12</f>
        <v>0</v>
      </c>
      <c r="D12" s="31">
        <f>'FY 2 Best'!N12</f>
        <v>0</v>
      </c>
      <c r="E12" s="31">
        <f>'FY 3 Best'!N12</f>
        <v>0</v>
      </c>
      <c r="F12" s="31">
        <f>'FY 4 Best'!N12</f>
        <v>0</v>
      </c>
      <c r="G12" s="31">
        <f>'FY 5 Best'!N12</f>
        <v>0</v>
      </c>
      <c r="H12" s="61">
        <f t="shared" si="0"/>
        <v>0</v>
      </c>
      <c r="K12" s="147"/>
      <c r="L12" s="102"/>
      <c r="M12" s="102"/>
      <c r="N12" s="102"/>
      <c r="O12" s="102"/>
      <c r="P12" s="102"/>
      <c r="Q12" s="102"/>
      <c r="R12" s="102"/>
    </row>
    <row r="13" spans="1:18" ht="15">
      <c r="A13" s="169" t="s">
        <v>47</v>
      </c>
      <c r="B13" s="31">
        <f>'FY 0 Best'!N13</f>
        <v>36000</v>
      </c>
      <c r="C13" s="31">
        <f>'FY 1 Best'!N13</f>
        <v>58000</v>
      </c>
      <c r="D13" s="31">
        <f>'FY 2 Best'!N13</f>
        <v>300000</v>
      </c>
      <c r="E13" s="31">
        <f>'FY 3 Best'!N13</f>
        <v>300000</v>
      </c>
      <c r="F13" s="31">
        <f>'FY 4 Best'!N13</f>
        <v>300000</v>
      </c>
      <c r="G13" s="31">
        <f>'FY 5 Best'!N13</f>
        <v>300000</v>
      </c>
      <c r="H13" s="61">
        <f t="shared" si="0"/>
        <v>1294000</v>
      </c>
      <c r="K13" s="147"/>
      <c r="L13" s="102"/>
      <c r="M13" s="102"/>
      <c r="N13" s="102"/>
      <c r="O13" s="102"/>
      <c r="P13" s="102"/>
      <c r="Q13" s="102"/>
      <c r="R13" s="102"/>
    </row>
    <row r="14" spans="1:18" ht="15">
      <c r="A14" s="169" t="s">
        <v>285</v>
      </c>
      <c r="B14" s="31">
        <f>'FY 0 Best'!N14</f>
        <v>0</v>
      </c>
      <c r="C14" s="31">
        <f>'FY 1 Best'!N14</f>
        <v>10000</v>
      </c>
      <c r="D14" s="31">
        <f>'FY 2 Best'!N14</f>
        <v>0</v>
      </c>
      <c r="E14" s="31">
        <f>'FY 3 Best'!N14</f>
        <v>0</v>
      </c>
      <c r="F14" s="31">
        <f>'FY 4 Best'!N14</f>
        <v>0</v>
      </c>
      <c r="G14" s="31">
        <f>'FY 5 Best'!N14</f>
        <v>0</v>
      </c>
      <c r="H14" s="61">
        <f t="shared" si="0"/>
        <v>10000</v>
      </c>
      <c r="K14" s="147"/>
      <c r="L14" s="102"/>
      <c r="M14" s="102"/>
      <c r="N14" s="102"/>
      <c r="O14" s="102"/>
      <c r="P14" s="102"/>
      <c r="Q14" s="102"/>
      <c r="R14" s="102"/>
    </row>
    <row r="15" spans="1:18" ht="15">
      <c r="A15" s="169" t="s">
        <v>198</v>
      </c>
      <c r="B15" s="31">
        <f>'FY 0 Best'!N15</f>
        <v>0</v>
      </c>
      <c r="C15" s="31">
        <f>'FY 1 Best'!N15</f>
        <v>45250</v>
      </c>
      <c r="D15" s="31">
        <f>'FY 2 Best'!N15</f>
        <v>113125</v>
      </c>
      <c r="E15" s="31">
        <f>'FY 3 Best'!N15</f>
        <v>217200</v>
      </c>
      <c r="F15" s="31">
        <f>'FY 4 Best'!N15</f>
        <v>371050</v>
      </c>
      <c r="G15" s="31">
        <f>'FY 5 Best'!N15</f>
        <v>565625</v>
      </c>
      <c r="H15" s="61">
        <f t="shared" si="0"/>
        <v>1312250</v>
      </c>
      <c r="K15" s="147"/>
      <c r="L15" s="102"/>
      <c r="M15" s="102"/>
      <c r="N15" s="102"/>
      <c r="O15" s="102"/>
      <c r="P15" s="102"/>
      <c r="Q15" s="102"/>
      <c r="R15" s="102"/>
    </row>
    <row r="16" spans="1:18" ht="15">
      <c r="A16" s="169" t="s">
        <v>199</v>
      </c>
      <c r="B16" s="31">
        <f>'FY 0 Best'!N16</f>
        <v>0</v>
      </c>
      <c r="C16" s="31">
        <f>'FY 1 Best'!N16</f>
        <v>27150</v>
      </c>
      <c r="D16" s="31">
        <f>'FY 2 Best'!N16</f>
        <v>99550</v>
      </c>
      <c r="E16" s="31">
        <f>'FY 3 Best'!N16</f>
        <v>203625</v>
      </c>
      <c r="F16" s="31">
        <f>'FY 4 Best'!N16</f>
        <v>352950</v>
      </c>
      <c r="G16" s="31">
        <f>'FY 5 Best'!N16</f>
        <v>556575</v>
      </c>
      <c r="H16" s="61">
        <f t="shared" si="0"/>
        <v>1239850</v>
      </c>
      <c r="K16" s="191"/>
      <c r="L16" s="192"/>
      <c r="M16" s="192"/>
      <c r="N16" s="192"/>
      <c r="O16" s="192"/>
      <c r="P16" s="192"/>
      <c r="Q16" s="192"/>
      <c r="R16" s="192"/>
    </row>
    <row r="17" spans="1:8" ht="15">
      <c r="A17" s="169" t="s">
        <v>200</v>
      </c>
      <c r="B17" s="31">
        <f>'FY 0 Best'!N17</f>
        <v>0</v>
      </c>
      <c r="C17" s="31">
        <f>'FY 1 Best'!N17</f>
        <v>18100</v>
      </c>
      <c r="D17" s="31">
        <f>'FY 2 Best'!N17</f>
        <v>85975</v>
      </c>
      <c r="E17" s="31">
        <f>'FY 3 Best'!N17</f>
        <v>194575</v>
      </c>
      <c r="F17" s="31">
        <f>'FY 4 Best'!N17</f>
        <v>343900</v>
      </c>
      <c r="G17" s="31">
        <f>'FY 5 Best'!N17</f>
        <v>538475</v>
      </c>
      <c r="H17" s="61">
        <f t="shared" si="0"/>
        <v>1181025</v>
      </c>
    </row>
    <row r="18" spans="1:8" ht="15">
      <c r="A18" s="169" t="s">
        <v>201</v>
      </c>
      <c r="B18" s="31">
        <f>'FY 0 Best'!N18</f>
        <v>0</v>
      </c>
      <c r="C18" s="31">
        <f>'FY 1 Best'!N18</f>
        <v>4525</v>
      </c>
      <c r="D18" s="31">
        <f>'FY 2 Best'!N18</f>
        <v>72400</v>
      </c>
      <c r="E18" s="31">
        <f>'FY 3 Best'!N18</f>
        <v>181000</v>
      </c>
      <c r="F18" s="31">
        <f>'FY 4 Best'!N18</f>
        <v>334850</v>
      </c>
      <c r="G18" s="31">
        <f>'FY 5 Best'!N18</f>
        <v>520375</v>
      </c>
      <c r="H18" s="61">
        <f t="shared" si="0"/>
        <v>1113150</v>
      </c>
    </row>
    <row r="19" spans="1:8" ht="15">
      <c r="A19" s="169" t="s">
        <v>203</v>
      </c>
      <c r="B19" s="31">
        <f>'FY 0 Best'!N19</f>
        <v>0</v>
      </c>
      <c r="C19" s="31">
        <f>'FY 1 Best'!N19</f>
        <v>70400</v>
      </c>
      <c r="D19" s="31">
        <f>'FY 2 Best'!N19</f>
        <v>105600</v>
      </c>
      <c r="E19" s="31">
        <f>'FY 3 Best'!N19</f>
        <v>105600</v>
      </c>
      <c r="F19" s="31">
        <f>'FY 4 Best'!N19</f>
        <v>105600</v>
      </c>
      <c r="G19" s="31">
        <f>'FY 5 Best'!N19</f>
        <v>105600</v>
      </c>
      <c r="H19" s="61">
        <f t="shared" si="0"/>
        <v>492800</v>
      </c>
    </row>
    <row r="20" spans="1:8" ht="15">
      <c r="A20" s="169" t="s">
        <v>202</v>
      </c>
      <c r="B20" s="31">
        <f>'FY 0 Best'!N20</f>
        <v>0</v>
      </c>
      <c r="C20" s="31">
        <f>'FY 1 Best'!N20</f>
        <v>22000</v>
      </c>
      <c r="D20" s="31">
        <f>'FY 2 Best'!N20</f>
        <v>105600</v>
      </c>
      <c r="E20" s="31">
        <f>'FY 3 Best'!N20</f>
        <v>105600</v>
      </c>
      <c r="F20" s="31">
        <f>'FY 4 Best'!N20</f>
        <v>105600</v>
      </c>
      <c r="G20" s="31">
        <f>'FY 5 Best'!N20</f>
        <v>105600</v>
      </c>
      <c r="H20" s="61">
        <f t="shared" si="0"/>
        <v>444400</v>
      </c>
    </row>
    <row r="21" spans="1:8" ht="15">
      <c r="A21" s="169" t="s">
        <v>286</v>
      </c>
      <c r="B21" s="31">
        <f>'FY 0 Best'!N21</f>
        <v>132000</v>
      </c>
      <c r="C21" s="31">
        <f>'FY 1 Best'!N21</f>
        <v>132000</v>
      </c>
      <c r="D21" s="31">
        <f>'FY 2 Best'!N21</f>
        <v>132000</v>
      </c>
      <c r="E21" s="31">
        <f>'FY 3 Best'!N21</f>
        <v>132000</v>
      </c>
      <c r="F21" s="31">
        <f>'FY 4 Best'!N21</f>
        <v>132000</v>
      </c>
      <c r="G21" s="31">
        <f>'FY 5 Best'!N21</f>
        <v>132000</v>
      </c>
      <c r="H21" s="61">
        <f t="shared" si="0"/>
        <v>792000</v>
      </c>
    </row>
    <row r="22" spans="1:8" ht="15">
      <c r="A22" s="169" t="s">
        <v>67</v>
      </c>
      <c r="B22" s="31">
        <f>'FY 0 Best'!N22</f>
        <v>33000</v>
      </c>
      <c r="C22" s="31">
        <f>'FY 1 Best'!N22</f>
        <v>123750</v>
      </c>
      <c r="D22" s="31">
        <f>'FY 2 Best'!N22</f>
        <v>132000</v>
      </c>
      <c r="E22" s="31">
        <f>'FY 3 Best'!N22</f>
        <v>132000</v>
      </c>
      <c r="F22" s="31">
        <f>'FY 4 Best'!N22</f>
        <v>132000</v>
      </c>
      <c r="G22" s="31">
        <f>'FY 5 Best'!N22</f>
        <v>132000</v>
      </c>
      <c r="H22" s="61">
        <f t="shared" si="0"/>
        <v>684750</v>
      </c>
    </row>
    <row r="23" spans="1:8" ht="15">
      <c r="A23" s="169" t="s">
        <v>43</v>
      </c>
      <c r="B23" s="31">
        <f>'FY 0 Best'!N23</f>
        <v>0</v>
      </c>
      <c r="C23" s="31">
        <f>'FY 1 Best'!N23</f>
        <v>0</v>
      </c>
      <c r="D23" s="31">
        <f>'FY 2 Best'!N23</f>
        <v>120000</v>
      </c>
      <c r="E23" s="31">
        <f>'FY 3 Best'!N23</f>
        <v>120000</v>
      </c>
      <c r="F23" s="31">
        <f>'FY 4 Best'!N23</f>
        <v>120000</v>
      </c>
      <c r="G23" s="31">
        <f>'FY 5 Best'!N23</f>
        <v>120000</v>
      </c>
      <c r="H23" s="61">
        <f t="shared" si="0"/>
        <v>480000</v>
      </c>
    </row>
    <row r="24" spans="1:8" ht="15">
      <c r="A24" s="169" t="s">
        <v>62</v>
      </c>
      <c r="B24" s="31">
        <f>'FY 0 Best'!N24</f>
        <v>0</v>
      </c>
      <c r="C24" s="31">
        <f>'FY 1 Best'!N24</f>
        <v>25000</v>
      </c>
      <c r="D24" s="31">
        <f>'FY 2 Best'!N24</f>
        <v>30000</v>
      </c>
      <c r="E24" s="31">
        <f>'FY 3 Best'!N24</f>
        <v>30000</v>
      </c>
      <c r="F24" s="31">
        <f>'FY 4 Best'!N24</f>
        <v>30000</v>
      </c>
      <c r="G24" s="31">
        <f>'FY 5 Best'!N24</f>
        <v>30000</v>
      </c>
      <c r="H24" s="61">
        <f t="shared" si="0"/>
        <v>145000</v>
      </c>
    </row>
    <row r="25" spans="1:8" ht="15">
      <c r="A25" s="169" t="s">
        <v>96</v>
      </c>
      <c r="B25" s="31">
        <f>'FY 0 Best'!N25</f>
        <v>42000</v>
      </c>
      <c r="C25" s="31">
        <f>'FY 1 Best'!N25</f>
        <v>207000</v>
      </c>
      <c r="D25" s="31">
        <f>'FY 2 Best'!N25</f>
        <v>240000</v>
      </c>
      <c r="E25" s="31">
        <f>'FY 3 Best'!N25</f>
        <v>480000</v>
      </c>
      <c r="F25" s="31">
        <f>'FY 4 Best'!N25</f>
        <v>480000</v>
      </c>
      <c r="G25" s="31">
        <f>'FY 5 Best'!N25</f>
        <v>480000</v>
      </c>
      <c r="H25" s="61">
        <f t="shared" si="0"/>
        <v>1929000</v>
      </c>
    </row>
    <row r="26" spans="1:8" ht="15">
      <c r="A26" s="169" t="s">
        <v>45</v>
      </c>
      <c r="B26" s="31">
        <f>'FY 0 Best'!N26</f>
        <v>6000</v>
      </c>
      <c r="C26" s="31">
        <f>'FY 1 Best'!N26</f>
        <v>32000</v>
      </c>
      <c r="D26" s="31">
        <f>'FY 2 Best'!N26</f>
        <v>72000</v>
      </c>
      <c r="E26" s="31">
        <f>'FY 3 Best'!N26</f>
        <v>72000</v>
      </c>
      <c r="F26" s="31">
        <f>'FY 4 Best'!N26</f>
        <v>72000</v>
      </c>
      <c r="G26" s="31">
        <f>'FY 5 Best'!N26</f>
        <v>72000</v>
      </c>
      <c r="H26" s="61">
        <f t="shared" si="0"/>
        <v>326000</v>
      </c>
    </row>
    <row r="27" spans="1:8" ht="15">
      <c r="A27" s="169" t="s">
        <v>46</v>
      </c>
      <c r="B27" s="31">
        <f>'FY 0 Best'!N27</f>
        <v>3000</v>
      </c>
      <c r="C27" s="31">
        <f>'FY 1 Best'!N27</f>
        <v>11209.978</v>
      </c>
      <c r="D27" s="31">
        <f>'FY 2 Best'!N27</f>
        <v>15361.050000000003</v>
      </c>
      <c r="E27" s="31">
        <f>'FY 3 Best'!N27</f>
        <v>18453.215999999997</v>
      </c>
      <c r="F27" s="31">
        <f>'FY 4 Best'!N27</f>
        <v>23158.686</v>
      </c>
      <c r="G27" s="31">
        <f>'FY 5 Best'!N27</f>
        <v>28805.250000000004</v>
      </c>
      <c r="H27" s="61">
        <f t="shared" si="0"/>
        <v>99988.18</v>
      </c>
    </row>
    <row r="28" spans="1:8" ht="15">
      <c r="A28" s="169" t="s">
        <v>48</v>
      </c>
      <c r="B28" s="31">
        <f>'FY 0 Best'!N28</f>
        <v>18000</v>
      </c>
      <c r="C28" s="31">
        <f>'FY 1 Best'!N28</f>
        <v>103000</v>
      </c>
      <c r="D28" s="31">
        <f>'FY 2 Best'!N28</f>
        <v>120000</v>
      </c>
      <c r="E28" s="31">
        <f>'FY 3 Best'!N28</f>
        <v>120000</v>
      </c>
      <c r="F28" s="31">
        <f>'FY 4 Best'!N28</f>
        <v>120000</v>
      </c>
      <c r="G28" s="31">
        <f>'FY 5 Best'!N28</f>
        <v>120000</v>
      </c>
      <c r="H28" s="61">
        <f t="shared" si="0"/>
        <v>601000</v>
      </c>
    </row>
    <row r="29" spans="1:8" ht="15">
      <c r="A29" s="169" t="s">
        <v>50</v>
      </c>
      <c r="B29" s="31">
        <f>'FY 0 Best'!N29</f>
        <v>0</v>
      </c>
      <c r="C29" s="31">
        <f>'FY 1 Best'!N29</f>
        <v>13500</v>
      </c>
      <c r="D29" s="31">
        <f>'FY 2 Best'!N29</f>
        <v>18000</v>
      </c>
      <c r="E29" s="31">
        <f>'FY 3 Best'!N29</f>
        <v>18000</v>
      </c>
      <c r="F29" s="31">
        <f>'FY 4 Best'!N29</f>
        <v>18000</v>
      </c>
      <c r="G29" s="31">
        <f>'FY 5 Best'!N29</f>
        <v>18000</v>
      </c>
      <c r="H29" s="61">
        <f t="shared" si="0"/>
        <v>85500</v>
      </c>
    </row>
    <row r="30" spans="1:8" ht="15">
      <c r="A30" s="169" t="s">
        <v>204</v>
      </c>
      <c r="B30" s="31">
        <f>'FY 0 Best'!N30</f>
        <v>0</v>
      </c>
      <c r="C30" s="31">
        <f>'FY 1 Best'!N30</f>
        <v>20004</v>
      </c>
      <c r="D30" s="31">
        <f>'FY 2 Best'!N30</f>
        <v>20004</v>
      </c>
      <c r="E30" s="31">
        <f>'FY 3 Best'!N30</f>
        <v>20004</v>
      </c>
      <c r="F30" s="31">
        <f>'FY 4 Best'!N30</f>
        <v>20004</v>
      </c>
      <c r="G30" s="31">
        <f>'FY 5 Best'!N30</f>
        <v>20004</v>
      </c>
      <c r="H30" s="61">
        <f>SUM(B30:G30)</f>
        <v>100020</v>
      </c>
    </row>
    <row r="31" spans="1:8" ht="15">
      <c r="A31" s="169" t="s">
        <v>214</v>
      </c>
      <c r="B31" s="31">
        <f>'FY 0 Best'!N31</f>
        <v>0</v>
      </c>
      <c r="C31" s="31">
        <f>'FY 1 Best'!N31</f>
        <v>80743.5889</v>
      </c>
      <c r="D31" s="31">
        <f>'FY 2 Best'!N31</f>
        <v>123420.07309458159</v>
      </c>
      <c r="E31" s="31">
        <f>'FY 3 Best'!N31</f>
        <v>179280.68363815406</v>
      </c>
      <c r="F31" s="31">
        <f>'FY 4 Best'!N31</f>
        <v>208594.68000000005</v>
      </c>
      <c r="G31" s="31">
        <f>'FY 5 Best'!N31</f>
        <v>208594.68000000005</v>
      </c>
      <c r="H31" s="61">
        <f t="shared" si="0"/>
        <v>800633.7056327357</v>
      </c>
    </row>
    <row r="32" spans="1:8" ht="15">
      <c r="A32" s="170" t="s">
        <v>59</v>
      </c>
      <c r="B32" s="31">
        <f>'FY 0 Best'!N32</f>
        <v>0</v>
      </c>
      <c r="C32" s="31">
        <f>'FY 1 Best'!N32</f>
        <v>37404.5</v>
      </c>
      <c r="D32" s="31">
        <f>'FY 2 Best'!N32</f>
        <v>40812.5</v>
      </c>
      <c r="E32" s="31">
        <f>'FY 3 Best'!N32</f>
        <v>40824</v>
      </c>
      <c r="F32" s="31">
        <f>'FY 4 Best'!N32</f>
        <v>131742.77820771252</v>
      </c>
      <c r="G32" s="31">
        <f>'FY 5 Best'!N32</f>
        <v>183645.83121438627</v>
      </c>
      <c r="H32" s="61">
        <f t="shared" si="0"/>
        <v>434429.6094220988</v>
      </c>
    </row>
    <row r="33" spans="1:8" ht="15.75" thickBot="1">
      <c r="A33" s="170" t="s">
        <v>58</v>
      </c>
      <c r="B33" s="31">
        <f>'FY 0 Best'!N33</f>
        <v>0</v>
      </c>
      <c r="C33" s="31">
        <f>'FY 1 Best'!N33</f>
        <v>42021.79445</v>
      </c>
      <c r="D33" s="31">
        <f>'FY 2 Best'!N33</f>
        <v>63510.036547290794</v>
      </c>
      <c r="E33" s="31">
        <f>'FY 3 Best'!N33</f>
        <v>91440.34181907703</v>
      </c>
      <c r="F33" s="31">
        <f>'FY 4 Best'!N33</f>
        <v>66445.43820771253</v>
      </c>
      <c r="G33" s="31">
        <f>'FY 5 Best'!N33</f>
        <v>118348.49121438629</v>
      </c>
      <c r="H33" s="61">
        <f>SUM(B33:G33)</f>
        <v>381766.1022384667</v>
      </c>
    </row>
    <row r="34" spans="1:8" ht="15.75" thickBot="1">
      <c r="A34" s="171" t="s">
        <v>94</v>
      </c>
      <c r="B34" s="34">
        <f>'FY 0 Best'!N34</f>
        <v>-495000</v>
      </c>
      <c r="C34" s="34">
        <f>'FY 1 Best'!N34</f>
        <v>-728443.5273500001</v>
      </c>
      <c r="D34" s="34">
        <f>'FY 2 Best'!N34</f>
        <v>315846.7260330243</v>
      </c>
      <c r="E34" s="34">
        <f>'FY 3 Best'!N34</f>
        <v>2915238.776832016</v>
      </c>
      <c r="F34" s="34">
        <f>'FY 4 Best'!N34</f>
        <v>6645237.802510079</v>
      </c>
      <c r="G34" s="34">
        <f>'FY 5 Best'!N34</f>
        <v>12385851.49329758</v>
      </c>
      <c r="H34" s="135">
        <f t="shared" si="0"/>
        <v>21038731.271322697</v>
      </c>
    </row>
    <row r="37" spans="1:18" ht="15">
      <c r="A37" s="247" t="s">
        <v>295</v>
      </c>
      <c r="B37" s="247"/>
      <c r="C37" s="247"/>
      <c r="D37" s="247"/>
      <c r="E37" s="247"/>
      <c r="F37" s="247"/>
      <c r="G37" s="247"/>
      <c r="H37" s="247"/>
      <c r="I37" s="180"/>
      <c r="J37" s="180"/>
      <c r="K37" s="180"/>
      <c r="L37" s="180"/>
      <c r="M37" s="180"/>
      <c r="N37" s="180"/>
      <c r="O37" s="180"/>
      <c r="P37" s="180"/>
      <c r="Q37" s="180"/>
      <c r="R37" s="180"/>
    </row>
    <row r="38" spans="1:18" ht="15">
      <c r="A38" s="247"/>
      <c r="B38" s="247"/>
      <c r="C38" s="247"/>
      <c r="D38" s="247"/>
      <c r="E38" s="247"/>
      <c r="F38" s="247"/>
      <c r="G38" s="247"/>
      <c r="H38" s="247"/>
      <c r="I38" s="180"/>
      <c r="J38" s="180"/>
      <c r="K38" s="180"/>
      <c r="L38" s="180"/>
      <c r="M38" s="180"/>
      <c r="N38" s="180"/>
      <c r="O38" s="180"/>
      <c r="P38" s="180"/>
      <c r="Q38" s="180"/>
      <c r="R38" s="180"/>
    </row>
    <row r="39" spans="1:18" ht="15">
      <c r="A39" s="247"/>
      <c r="B39" s="247"/>
      <c r="C39" s="247"/>
      <c r="D39" s="247"/>
      <c r="E39" s="247"/>
      <c r="F39" s="247"/>
      <c r="G39" s="247"/>
      <c r="H39" s="247"/>
      <c r="I39" s="180"/>
      <c r="J39" s="180"/>
      <c r="K39" s="180"/>
      <c r="L39" s="180"/>
      <c r="M39" s="180"/>
      <c r="N39" s="180"/>
      <c r="O39" s="180"/>
      <c r="P39" s="180"/>
      <c r="Q39" s="180"/>
      <c r="R39" s="180"/>
    </row>
    <row r="40" spans="1:18" ht="15">
      <c r="A40" s="247"/>
      <c r="B40" s="247"/>
      <c r="C40" s="247"/>
      <c r="D40" s="247"/>
      <c r="E40" s="247"/>
      <c r="F40" s="247"/>
      <c r="G40" s="247"/>
      <c r="H40" s="247"/>
      <c r="I40" s="180"/>
      <c r="J40" s="180"/>
      <c r="K40" s="180"/>
      <c r="L40" s="180"/>
      <c r="M40" s="180"/>
      <c r="N40" s="180"/>
      <c r="O40" s="180"/>
      <c r="P40" s="180"/>
      <c r="Q40" s="180"/>
      <c r="R40" s="180"/>
    </row>
    <row r="41" spans="1:18" ht="15">
      <c r="A41" s="247"/>
      <c r="B41" s="247"/>
      <c r="C41" s="247"/>
      <c r="D41" s="247"/>
      <c r="E41" s="247"/>
      <c r="F41" s="247"/>
      <c r="G41" s="247"/>
      <c r="H41" s="247"/>
      <c r="I41" s="180"/>
      <c r="J41" s="180"/>
      <c r="K41" s="180"/>
      <c r="L41" s="180"/>
      <c r="M41" s="180"/>
      <c r="N41" s="180"/>
      <c r="O41" s="180"/>
      <c r="P41" s="180"/>
      <c r="Q41" s="180"/>
      <c r="R41" s="180"/>
    </row>
    <row r="42" spans="1:18" ht="15">
      <c r="A42" s="247"/>
      <c r="B42" s="247"/>
      <c r="C42" s="247"/>
      <c r="D42" s="247"/>
      <c r="E42" s="247"/>
      <c r="F42" s="247"/>
      <c r="G42" s="247"/>
      <c r="H42" s="247"/>
      <c r="I42" s="180"/>
      <c r="J42" s="180"/>
      <c r="K42" s="180"/>
      <c r="L42" s="180"/>
      <c r="M42" s="180"/>
      <c r="N42" s="180"/>
      <c r="O42" s="180"/>
      <c r="P42" s="180"/>
      <c r="Q42" s="180"/>
      <c r="R42" s="180"/>
    </row>
    <row r="43" spans="1:18" ht="15">
      <c r="A43" s="247"/>
      <c r="B43" s="247"/>
      <c r="C43" s="247"/>
      <c r="D43" s="247"/>
      <c r="E43" s="247"/>
      <c r="F43" s="247"/>
      <c r="G43" s="247"/>
      <c r="H43" s="247"/>
      <c r="I43" s="180"/>
      <c r="J43" s="180"/>
      <c r="K43" s="180"/>
      <c r="L43" s="180"/>
      <c r="M43" s="180"/>
      <c r="N43" s="180"/>
      <c r="O43" s="180"/>
      <c r="P43" s="180"/>
      <c r="Q43" s="180"/>
      <c r="R43" s="180"/>
    </row>
    <row r="44" spans="1:18" ht="15">
      <c r="A44" s="247"/>
      <c r="B44" s="247"/>
      <c r="C44" s="247"/>
      <c r="D44" s="247"/>
      <c r="E44" s="247"/>
      <c r="F44" s="247"/>
      <c r="G44" s="247"/>
      <c r="H44" s="247"/>
      <c r="I44" s="180"/>
      <c r="J44" s="180"/>
      <c r="K44" s="180"/>
      <c r="L44" s="180"/>
      <c r="M44" s="180"/>
      <c r="N44" s="180"/>
      <c r="O44" s="180"/>
      <c r="P44" s="180"/>
      <c r="Q44" s="180"/>
      <c r="R44" s="180"/>
    </row>
    <row r="45" spans="1:18" ht="15">
      <c r="A45" s="247"/>
      <c r="B45" s="247"/>
      <c r="C45" s="247"/>
      <c r="D45" s="247"/>
      <c r="E45" s="247"/>
      <c r="F45" s="247"/>
      <c r="G45" s="247"/>
      <c r="H45" s="247"/>
      <c r="I45" s="180"/>
      <c r="J45" s="180"/>
      <c r="K45" s="180"/>
      <c r="L45" s="180"/>
      <c r="M45" s="180"/>
      <c r="N45" s="180"/>
      <c r="O45" s="180"/>
      <c r="P45" s="180"/>
      <c r="Q45" s="180"/>
      <c r="R45" s="180"/>
    </row>
    <row r="47" spans="2:7" ht="15">
      <c r="B47" s="248" t="s">
        <v>288</v>
      </c>
      <c r="C47" s="248"/>
      <c r="D47" s="248"/>
      <c r="E47" s="248"/>
      <c r="F47" s="248"/>
      <c r="G47" s="248"/>
    </row>
  </sheetData>
  <sheetProtection sheet="1" objects="1" scenarios="1" formatCells="0" formatColumns="0" formatRows="0" insertColumns="0" insertRows="0" insertHyperlinks="0" deleteColumns="0" deleteRows="0" selectLockedCells="1" sort="0"/>
  <mergeCells count="2">
    <mergeCell ref="B47:G47"/>
    <mergeCell ref="A37:H45"/>
  </mergeCells>
  <printOptions horizontalCentered="1"/>
  <pageMargins left="0.7" right="0.7" top="0.75" bottom="0.75" header="0.3" footer="0.3"/>
  <pageSetup fitToHeight="1" fitToWidth="1" horizontalDpi="600" verticalDpi="600" orientation="landscape" scale="73" r:id="rId1"/>
  <headerFooter>
    <oddHeader>&amp;C&amp;"-,Bold"&amp;24&amp;UProject Victories Project Selection Tool</oddHeader>
    <oddFooter>&amp;CCopyright The Volpe Consortium, Inc.</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
      <selection activeCell="A5" sqref="A5"/>
    </sheetView>
  </sheetViews>
  <sheetFormatPr defaultColWidth="9.140625" defaultRowHeight="15"/>
  <cols>
    <col min="1" max="1" width="27.57421875" style="0" customWidth="1"/>
    <col min="2" max="13" width="14.28125" style="0" bestFit="1" customWidth="1"/>
    <col min="14" max="14" width="15.2812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f>INT(B5/Calcs!$B$21)+1</f>
        <v>2</v>
      </c>
      <c r="C4" s="177">
        <f>INT(C5/Calcs!$B$21)+1</f>
        <v>2</v>
      </c>
      <c r="D4" s="177">
        <f>INT(D5/Calcs!$B$21)+1</f>
        <v>2</v>
      </c>
      <c r="E4" s="177">
        <f>INT(E5/Calcs!$B$21)+1</f>
        <v>2</v>
      </c>
      <c r="F4" s="177">
        <f>INT(F5/Calcs!$B$21)+1</f>
        <v>2</v>
      </c>
      <c r="G4" s="177">
        <f>INT(G5/Calcs!$B$21)+1</f>
        <v>2</v>
      </c>
      <c r="H4" s="177">
        <f>INT(H5/Calcs!$B$21)+1</f>
        <v>2</v>
      </c>
      <c r="I4" s="177">
        <f>INT(I5/Calcs!$B$21)+1</f>
        <v>2</v>
      </c>
      <c r="J4" s="177">
        <f>INT(J5/Calcs!$B$21)+1</f>
        <v>2</v>
      </c>
      <c r="K4" s="177">
        <f>INT(K5/Calcs!$B$21)+1</f>
        <v>2</v>
      </c>
      <c r="L4" s="177">
        <f>INT(L5/Calcs!$B$21)+1</f>
        <v>2</v>
      </c>
      <c r="M4" s="177">
        <f>INT(M5/Calcs!$B$21)+1</f>
        <v>2</v>
      </c>
      <c r="N4" s="75"/>
    </row>
    <row r="5" spans="1:14" ht="15">
      <c r="A5" s="169" t="s">
        <v>284</v>
      </c>
      <c r="B5" s="173">
        <f>'FY 2 Worst'!M5*1.05</f>
        <v>2425.3774495299913</v>
      </c>
      <c r="C5" s="173">
        <f>B5*1.05</f>
        <v>2546.646322006491</v>
      </c>
      <c r="D5" s="173">
        <f aca="true" t="shared" si="0" ref="D5:M5">C5*1.05</f>
        <v>2673.9786381068157</v>
      </c>
      <c r="E5" s="173">
        <f t="shared" si="0"/>
        <v>2807.6775700121566</v>
      </c>
      <c r="F5" s="173">
        <f t="shared" si="0"/>
        <v>2948.0614485127644</v>
      </c>
      <c r="G5" s="173">
        <f t="shared" si="0"/>
        <v>3095.4645209384025</v>
      </c>
      <c r="H5" s="173">
        <f t="shared" si="0"/>
        <v>3250.2377469853227</v>
      </c>
      <c r="I5" s="173">
        <f t="shared" si="0"/>
        <v>3412.749634334589</v>
      </c>
      <c r="J5" s="173">
        <f t="shared" si="0"/>
        <v>3583.3871160513186</v>
      </c>
      <c r="K5" s="173">
        <f t="shared" si="0"/>
        <v>3762.5564718538844</v>
      </c>
      <c r="L5" s="173">
        <f t="shared" si="0"/>
        <v>3950.6842954465787</v>
      </c>
      <c r="M5" s="173">
        <f t="shared" si="0"/>
        <v>4148.218510218908</v>
      </c>
      <c r="N5" s="127">
        <f>SUM(B5:M5)</f>
        <v>38605.03972399722</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480224.7350069383</v>
      </c>
      <c r="C7" s="31">
        <f aca="true" t="shared" si="1" ref="C7:M7">C5*$D$3</f>
        <v>504235.97175728524</v>
      </c>
      <c r="D7" s="31">
        <f t="shared" si="1"/>
        <v>529447.7703451494</v>
      </c>
      <c r="E7" s="31">
        <f t="shared" si="1"/>
        <v>555920.158862407</v>
      </c>
      <c r="F7" s="31">
        <f t="shared" si="1"/>
        <v>583716.1668055274</v>
      </c>
      <c r="G7" s="31">
        <f t="shared" si="1"/>
        <v>612901.9751458036</v>
      </c>
      <c r="H7" s="31">
        <f t="shared" si="1"/>
        <v>643547.0739030939</v>
      </c>
      <c r="I7" s="31">
        <f t="shared" si="1"/>
        <v>675724.4275982486</v>
      </c>
      <c r="J7" s="31">
        <f t="shared" si="1"/>
        <v>709510.648978161</v>
      </c>
      <c r="K7" s="31">
        <f t="shared" si="1"/>
        <v>744986.1814270691</v>
      </c>
      <c r="L7" s="31">
        <f t="shared" si="1"/>
        <v>782235.4904984226</v>
      </c>
      <c r="M7" s="31">
        <f t="shared" si="1"/>
        <v>821347.2650233437</v>
      </c>
      <c r="N7" s="32">
        <f>SUM(B7:M7)</f>
        <v>7643797.86535145</v>
      </c>
    </row>
    <row r="8" spans="1:14" ht="15">
      <c r="A8" s="133"/>
      <c r="B8" s="36"/>
      <c r="C8" s="36"/>
      <c r="D8" s="36"/>
      <c r="E8" s="36"/>
      <c r="F8" s="36"/>
      <c r="G8" s="36"/>
      <c r="H8" s="36"/>
      <c r="I8" s="36"/>
      <c r="J8" s="36"/>
      <c r="K8" s="36"/>
      <c r="L8" s="36"/>
      <c r="M8" s="36"/>
      <c r="N8" s="37"/>
    </row>
    <row r="9" spans="1:14" ht="15">
      <c r="A9" s="169" t="s">
        <v>56</v>
      </c>
      <c r="B9" s="21">
        <f>B5*$B$3</f>
        <v>334702.0880351388</v>
      </c>
      <c r="C9" s="21">
        <f aca="true" t="shared" si="2" ref="C9:M9">C5*$B$3</f>
        <v>351437.1924368958</v>
      </c>
      <c r="D9" s="21">
        <f t="shared" si="2"/>
        <v>369009.0520587406</v>
      </c>
      <c r="E9" s="21">
        <f t="shared" si="2"/>
        <v>387459.50466167764</v>
      </c>
      <c r="F9" s="21">
        <f t="shared" si="2"/>
        <v>406832.47989476146</v>
      </c>
      <c r="G9" s="21">
        <f t="shared" si="2"/>
        <v>427174.10388949956</v>
      </c>
      <c r="H9" s="21">
        <f t="shared" si="2"/>
        <v>448532.8090839745</v>
      </c>
      <c r="I9" s="21">
        <f t="shared" si="2"/>
        <v>470959.44953817327</v>
      </c>
      <c r="J9" s="21">
        <f t="shared" si="2"/>
        <v>494507.422015082</v>
      </c>
      <c r="K9" s="21">
        <f t="shared" si="2"/>
        <v>519232.79311583604</v>
      </c>
      <c r="L9" s="21">
        <f t="shared" si="2"/>
        <v>545194.4327716279</v>
      </c>
      <c r="M9" s="21">
        <f t="shared" si="2"/>
        <v>572454.1544102093</v>
      </c>
      <c r="N9" s="32">
        <f>SUM(B9:M9)</f>
        <v>5327495.481911616</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0</v>
      </c>
      <c r="D11" s="175">
        <v>0</v>
      </c>
      <c r="E11" s="175">
        <v>0</v>
      </c>
      <c r="F11" s="175">
        <v>0</v>
      </c>
      <c r="G11" s="175">
        <v>0</v>
      </c>
      <c r="H11" s="175">
        <v>0</v>
      </c>
      <c r="I11" s="175">
        <v>0</v>
      </c>
      <c r="J11" s="175">
        <v>0</v>
      </c>
      <c r="K11" s="175">
        <v>0</v>
      </c>
      <c r="L11" s="175">
        <v>200000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 aca="true" t="shared" si="3" ref="N13:N32">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9050</v>
      </c>
      <c r="C15" s="175">
        <v>9050</v>
      </c>
      <c r="D15" s="175">
        <v>9050</v>
      </c>
      <c r="E15" s="175">
        <v>9050</v>
      </c>
      <c r="F15" s="175">
        <v>9050</v>
      </c>
      <c r="G15" s="175">
        <v>9050</v>
      </c>
      <c r="H15" s="175">
        <v>9050</v>
      </c>
      <c r="I15" s="175">
        <v>9050</v>
      </c>
      <c r="J15" s="175">
        <v>9050</v>
      </c>
      <c r="K15" s="175">
        <v>9050</v>
      </c>
      <c r="L15" s="175">
        <v>9050</v>
      </c>
      <c r="M15" s="175">
        <v>9050</v>
      </c>
      <c r="N15" s="58">
        <f t="shared" si="3"/>
        <v>108600</v>
      </c>
    </row>
    <row r="16" spans="1:14" ht="15">
      <c r="A16" s="169" t="s">
        <v>199</v>
      </c>
      <c r="B16" s="175">
        <v>4525</v>
      </c>
      <c r="C16" s="175">
        <v>4525</v>
      </c>
      <c r="D16" s="175">
        <v>4525</v>
      </c>
      <c r="E16" s="175">
        <v>4525</v>
      </c>
      <c r="F16" s="175">
        <v>4525</v>
      </c>
      <c r="G16" s="175">
        <v>9050</v>
      </c>
      <c r="H16" s="175">
        <v>9050</v>
      </c>
      <c r="I16" s="175">
        <v>9050</v>
      </c>
      <c r="J16" s="175">
        <v>9050</v>
      </c>
      <c r="K16" s="175">
        <v>9050</v>
      </c>
      <c r="L16" s="175">
        <v>9050</v>
      </c>
      <c r="M16" s="175">
        <v>9050</v>
      </c>
      <c r="N16" s="58">
        <f t="shared" si="3"/>
        <v>85975</v>
      </c>
    </row>
    <row r="17" spans="1:14" ht="15">
      <c r="A17" s="169" t="s">
        <v>200</v>
      </c>
      <c r="B17" s="175">
        <v>4525</v>
      </c>
      <c r="C17" s="175">
        <v>4525</v>
      </c>
      <c r="D17" s="175">
        <v>4525</v>
      </c>
      <c r="E17" s="175">
        <v>4525</v>
      </c>
      <c r="F17" s="175">
        <v>4525</v>
      </c>
      <c r="G17" s="175">
        <v>4525</v>
      </c>
      <c r="H17" s="175">
        <v>4525</v>
      </c>
      <c r="I17" s="175">
        <v>4525</v>
      </c>
      <c r="J17" s="175">
        <v>4525</v>
      </c>
      <c r="K17" s="175">
        <v>9050</v>
      </c>
      <c r="L17" s="175">
        <v>9050</v>
      </c>
      <c r="M17" s="175">
        <v>9050</v>
      </c>
      <c r="N17" s="58">
        <f t="shared" si="3"/>
        <v>67875</v>
      </c>
    </row>
    <row r="18" spans="1:14" ht="15">
      <c r="A18" s="169" t="s">
        <v>201</v>
      </c>
      <c r="B18" s="175">
        <v>4525</v>
      </c>
      <c r="C18" s="175">
        <v>4525</v>
      </c>
      <c r="D18" s="175">
        <v>4525</v>
      </c>
      <c r="E18" s="175">
        <v>4525</v>
      </c>
      <c r="F18" s="175">
        <v>4525</v>
      </c>
      <c r="G18" s="175">
        <v>4525</v>
      </c>
      <c r="H18" s="175">
        <v>4525</v>
      </c>
      <c r="I18" s="175">
        <v>4525</v>
      </c>
      <c r="J18" s="175">
        <v>4525</v>
      </c>
      <c r="K18" s="175">
        <v>4525</v>
      </c>
      <c r="L18" s="175">
        <v>4525</v>
      </c>
      <c r="M18" s="175">
        <v>4525</v>
      </c>
      <c r="N18" s="58">
        <f>SUM(B18:M18)</f>
        <v>54300</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81">
        <v>8800</v>
      </c>
      <c r="C20" s="181">
        <v>8800</v>
      </c>
      <c r="D20" s="181">
        <v>8800</v>
      </c>
      <c r="E20" s="181">
        <v>8800</v>
      </c>
      <c r="F20" s="181">
        <v>8800</v>
      </c>
      <c r="G20" s="181">
        <v>8800</v>
      </c>
      <c r="H20" s="181">
        <v>8800</v>
      </c>
      <c r="I20" s="181">
        <v>8800</v>
      </c>
      <c r="J20" s="181">
        <v>8800</v>
      </c>
      <c r="K20" s="181">
        <v>8800</v>
      </c>
      <c r="L20" s="181">
        <v>8800</v>
      </c>
      <c r="M20" s="181">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1268.884</v>
      </c>
      <c r="C27" s="175">
        <f aca="true" t="shared" si="4" ref="C27:M27">(C4*300*30*0.007469)*2+1000</f>
        <v>1268.884</v>
      </c>
      <c r="D27" s="175">
        <f t="shared" si="4"/>
        <v>1268.884</v>
      </c>
      <c r="E27" s="175">
        <f t="shared" si="4"/>
        <v>1268.884</v>
      </c>
      <c r="F27" s="175">
        <f t="shared" si="4"/>
        <v>1268.884</v>
      </c>
      <c r="G27" s="175">
        <f t="shared" si="4"/>
        <v>1268.884</v>
      </c>
      <c r="H27" s="175">
        <f t="shared" si="4"/>
        <v>1268.884</v>
      </c>
      <c r="I27" s="175">
        <f t="shared" si="4"/>
        <v>1268.884</v>
      </c>
      <c r="J27" s="175">
        <f t="shared" si="4"/>
        <v>1268.884</v>
      </c>
      <c r="K27" s="175">
        <f t="shared" si="4"/>
        <v>1268.884</v>
      </c>
      <c r="L27" s="175">
        <f t="shared" si="4"/>
        <v>1268.884</v>
      </c>
      <c r="M27" s="175">
        <f t="shared" si="4"/>
        <v>1268.884</v>
      </c>
      <c r="N27" s="58">
        <f t="shared" si="3"/>
        <v>15226.608</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f>6500+2*(B5/2)</f>
        <v>8925.377449529991</v>
      </c>
      <c r="C31" s="175">
        <f aca="true" t="shared" si="5" ref="C31:M31">6500+2*(C5/2)</f>
        <v>9046.64632200649</v>
      </c>
      <c r="D31" s="175">
        <f t="shared" si="5"/>
        <v>9173.978638106815</v>
      </c>
      <c r="E31" s="175">
        <f t="shared" si="5"/>
        <v>9307.677570012156</v>
      </c>
      <c r="F31" s="175">
        <f t="shared" si="5"/>
        <v>9448.061448512764</v>
      </c>
      <c r="G31" s="175">
        <f t="shared" si="5"/>
        <v>9595.464520938403</v>
      </c>
      <c r="H31" s="175">
        <f t="shared" si="5"/>
        <v>9750.237746985324</v>
      </c>
      <c r="I31" s="175">
        <f t="shared" si="5"/>
        <v>9912.749634334588</v>
      </c>
      <c r="J31" s="175">
        <f t="shared" si="5"/>
        <v>10083.387116051319</v>
      </c>
      <c r="K31" s="175">
        <f t="shared" si="5"/>
        <v>10262.556471853884</v>
      </c>
      <c r="L31" s="175">
        <f t="shared" si="5"/>
        <v>10450.68429544658</v>
      </c>
      <c r="M31" s="175">
        <f t="shared" si="5"/>
        <v>10648.218510218907</v>
      </c>
      <c r="N31" s="58">
        <f t="shared" si="3"/>
        <v>116605.03972399724</v>
      </c>
    </row>
    <row r="32" spans="1:14" ht="15">
      <c r="A32" s="170" t="s">
        <v>59</v>
      </c>
      <c r="B32" s="175">
        <f aca="true" t="shared" si="6" ref="B32:M32">3400+1*(B4/2)</f>
        <v>3401</v>
      </c>
      <c r="C32" s="175">
        <f t="shared" si="6"/>
        <v>3401</v>
      </c>
      <c r="D32" s="175">
        <f t="shared" si="6"/>
        <v>3401</v>
      </c>
      <c r="E32" s="175">
        <f t="shared" si="6"/>
        <v>3401</v>
      </c>
      <c r="F32" s="175">
        <f t="shared" si="6"/>
        <v>3401</v>
      </c>
      <c r="G32" s="175">
        <f t="shared" si="6"/>
        <v>3401</v>
      </c>
      <c r="H32" s="175">
        <f t="shared" si="6"/>
        <v>3401</v>
      </c>
      <c r="I32" s="175">
        <f t="shared" si="6"/>
        <v>3401</v>
      </c>
      <c r="J32" s="175">
        <f t="shared" si="6"/>
        <v>3401</v>
      </c>
      <c r="K32" s="175">
        <f t="shared" si="6"/>
        <v>3401</v>
      </c>
      <c r="L32" s="175">
        <f t="shared" si="6"/>
        <v>3401</v>
      </c>
      <c r="M32" s="175">
        <f t="shared" si="6"/>
        <v>3401</v>
      </c>
      <c r="N32" s="58">
        <f t="shared" si="3"/>
        <v>40812</v>
      </c>
    </row>
    <row r="33" spans="1:14" ht="15.75" thickBot="1">
      <c r="A33" s="170" t="s">
        <v>58</v>
      </c>
      <c r="B33" s="175">
        <f aca="true" t="shared" si="7" ref="B33:M33">3400+1*(B5/2)</f>
        <v>4612.688724764996</v>
      </c>
      <c r="C33" s="175">
        <f t="shared" si="7"/>
        <v>4673.323161003245</v>
      </c>
      <c r="D33" s="175">
        <f t="shared" si="7"/>
        <v>4736.989319053408</v>
      </c>
      <c r="E33" s="175">
        <f t="shared" si="7"/>
        <v>4803.838785006078</v>
      </c>
      <c r="F33" s="175">
        <f t="shared" si="7"/>
        <v>4874.030724256382</v>
      </c>
      <c r="G33" s="175">
        <f t="shared" si="7"/>
        <v>4947.732260469202</v>
      </c>
      <c r="H33" s="175">
        <f t="shared" si="7"/>
        <v>5025.118873492662</v>
      </c>
      <c r="I33" s="175">
        <f t="shared" si="7"/>
        <v>5106.374817167294</v>
      </c>
      <c r="J33" s="175">
        <f t="shared" si="7"/>
        <v>5191.6935580256595</v>
      </c>
      <c r="K33" s="175">
        <f t="shared" si="7"/>
        <v>5281.278235926942</v>
      </c>
      <c r="L33" s="175">
        <f t="shared" si="7"/>
        <v>5375.34214772329</v>
      </c>
      <c r="M33" s="175">
        <f t="shared" si="7"/>
        <v>5474.109255109453</v>
      </c>
      <c r="N33" s="35">
        <f>SUM(B33:M33)</f>
        <v>60102.51986199861</v>
      </c>
    </row>
    <row r="34" spans="1:14" ht="15.75" thickBot="1">
      <c r="A34" s="171" t="s">
        <v>94</v>
      </c>
      <c r="B34" s="22">
        <f aca="true" t="shared" si="8" ref="B34:M34">B7-SUM(B9:B33)</f>
        <v>-31577.303202495503</v>
      </c>
      <c r="C34" s="22">
        <f t="shared" si="8"/>
        <v>-24483.074162620294</v>
      </c>
      <c r="D34" s="22">
        <f t="shared" si="8"/>
        <v>-17034.133670751355</v>
      </c>
      <c r="E34" s="22">
        <f t="shared" si="8"/>
        <v>-9212.746154288878</v>
      </c>
      <c r="F34" s="22">
        <f t="shared" si="8"/>
        <v>-1000.2892620031489</v>
      </c>
      <c r="G34" s="22">
        <f t="shared" si="8"/>
        <v>3097.790474896552</v>
      </c>
      <c r="H34" s="22">
        <f t="shared" si="8"/>
        <v>12152.024198641535</v>
      </c>
      <c r="I34" s="22">
        <f t="shared" si="8"/>
        <v>21658.969608573476</v>
      </c>
      <c r="J34" s="22">
        <f t="shared" si="8"/>
        <v>31641.26228900219</v>
      </c>
      <c r="K34" s="22">
        <f t="shared" si="8"/>
        <v>37597.6696034522</v>
      </c>
      <c r="L34" s="22">
        <f t="shared" si="8"/>
        <v>-151396.85271637514</v>
      </c>
      <c r="M34" s="22">
        <f t="shared" si="8"/>
        <v>60158.89884780615</v>
      </c>
      <c r="N34" s="23">
        <f>SUM(B34:M34)</f>
        <v>-68397.78414616222</v>
      </c>
    </row>
    <row r="37" spans="1:14" ht="15">
      <c r="A37" s="247" t="s">
        <v>292</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
      <selection activeCell="A6" sqref="A6"/>
    </sheetView>
  </sheetViews>
  <sheetFormatPr defaultColWidth="9.140625" defaultRowHeight="15"/>
  <cols>
    <col min="1" max="1" width="28.140625" style="0" bestFit="1" customWidth="1"/>
    <col min="2" max="13" width="14.28125" style="0" bestFit="1" customWidth="1"/>
    <col min="14" max="14" width="15.2812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v>2</v>
      </c>
      <c r="C4" s="177">
        <v>2</v>
      </c>
      <c r="D4" s="177">
        <v>3</v>
      </c>
      <c r="E4" s="177">
        <f>INT(E5/Calcs!$B$21)+1</f>
        <v>3</v>
      </c>
      <c r="F4" s="177">
        <f>INT(F5/Calcs!$B$21)+1</f>
        <v>3</v>
      </c>
      <c r="G4" s="177">
        <f>INT(G5/Calcs!$B$21)+1</f>
        <v>3</v>
      </c>
      <c r="H4" s="177">
        <f>INT(H5/Calcs!$B$21)+1</f>
        <v>3</v>
      </c>
      <c r="I4" s="177">
        <f>INT(I5/Calcs!$B$21)+1</f>
        <v>3</v>
      </c>
      <c r="J4" s="177">
        <v>3</v>
      </c>
      <c r="K4" s="177">
        <v>3</v>
      </c>
      <c r="L4" s="177">
        <v>3</v>
      </c>
      <c r="M4" s="177">
        <f>INT(M5/Calcs!$B$21)+1</f>
        <v>4</v>
      </c>
      <c r="N4" s="75"/>
    </row>
    <row r="5" spans="1:14" ht="15">
      <c r="A5" s="169" t="s">
        <v>284</v>
      </c>
      <c r="B5" s="173">
        <f>'FY 3 Worst'!M5*1.05</f>
        <v>4355.629435729853</v>
      </c>
      <c r="C5" s="173">
        <f>B5*1.05</f>
        <v>4573.410907516346</v>
      </c>
      <c r="D5" s="173">
        <f aca="true" t="shared" si="0" ref="D5:M5">C5*1.05</f>
        <v>4802.081452892164</v>
      </c>
      <c r="E5" s="173">
        <f t="shared" si="0"/>
        <v>5042.185525536772</v>
      </c>
      <c r="F5" s="173">
        <f t="shared" si="0"/>
        <v>5294.29480181361</v>
      </c>
      <c r="G5" s="173">
        <f t="shared" si="0"/>
        <v>5559.009541904291</v>
      </c>
      <c r="H5" s="173">
        <f t="shared" si="0"/>
        <v>5836.960018999505</v>
      </c>
      <c r="I5" s="173">
        <f t="shared" si="0"/>
        <v>6128.808019949481</v>
      </c>
      <c r="J5" s="173">
        <f t="shared" si="0"/>
        <v>6435.248420946955</v>
      </c>
      <c r="K5" s="173">
        <f t="shared" si="0"/>
        <v>6757.010841994303</v>
      </c>
      <c r="L5" s="173">
        <f t="shared" si="0"/>
        <v>7094.861384094018</v>
      </c>
      <c r="M5" s="173">
        <f t="shared" si="0"/>
        <v>7449.604453298719</v>
      </c>
      <c r="N5" s="127">
        <f>SUM(B5:M5)</f>
        <v>69329.10480467601</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862414.6282745108</v>
      </c>
      <c r="C7" s="31">
        <f aca="true" t="shared" si="1" ref="C7:M7">C5*$D$3</f>
        <v>905535.3596882365</v>
      </c>
      <c r="D7" s="31">
        <f t="shared" si="1"/>
        <v>950812.1276726484</v>
      </c>
      <c r="E7" s="31">
        <f t="shared" si="1"/>
        <v>998352.7340562808</v>
      </c>
      <c r="F7" s="31">
        <f t="shared" si="1"/>
        <v>1048270.3707590948</v>
      </c>
      <c r="G7" s="31">
        <f t="shared" si="1"/>
        <v>1100683.8892970495</v>
      </c>
      <c r="H7" s="31">
        <f t="shared" si="1"/>
        <v>1155718.083761902</v>
      </c>
      <c r="I7" s="31">
        <f t="shared" si="1"/>
        <v>1213503.9879499972</v>
      </c>
      <c r="J7" s="31">
        <f t="shared" si="1"/>
        <v>1274179.187347497</v>
      </c>
      <c r="K7" s="31">
        <f t="shared" si="1"/>
        <v>1337888.146714872</v>
      </c>
      <c r="L7" s="31">
        <f t="shared" si="1"/>
        <v>1404782.5540506155</v>
      </c>
      <c r="M7" s="31">
        <f t="shared" si="1"/>
        <v>1475021.6817531462</v>
      </c>
      <c r="N7" s="32">
        <f>SUM(B7:M7)</f>
        <v>13727162.751325851</v>
      </c>
    </row>
    <row r="8" spans="1:14" ht="15">
      <c r="A8" s="133"/>
      <c r="B8" s="36"/>
      <c r="C8" s="36"/>
      <c r="D8" s="36"/>
      <c r="E8" s="36"/>
      <c r="F8" s="36"/>
      <c r="G8" s="36"/>
      <c r="H8" s="36"/>
      <c r="I8" s="36"/>
      <c r="J8" s="36"/>
      <c r="K8" s="36"/>
      <c r="L8" s="36"/>
      <c r="M8" s="36"/>
      <c r="N8" s="37"/>
    </row>
    <row r="9" spans="1:14" ht="15">
      <c r="A9" s="169" t="s">
        <v>56</v>
      </c>
      <c r="B9" s="21">
        <f>B5*$B$3</f>
        <v>601076.8621307197</v>
      </c>
      <c r="C9" s="21">
        <f aca="true" t="shared" si="2" ref="C9:M9">C5*$B$3</f>
        <v>631130.7052372558</v>
      </c>
      <c r="D9" s="21">
        <f t="shared" si="2"/>
        <v>662687.2404991186</v>
      </c>
      <c r="E9" s="21">
        <f t="shared" si="2"/>
        <v>695821.6025240745</v>
      </c>
      <c r="F9" s="21">
        <f t="shared" si="2"/>
        <v>730612.6826502782</v>
      </c>
      <c r="G9" s="21">
        <f t="shared" si="2"/>
        <v>767143.3167827921</v>
      </c>
      <c r="H9" s="21">
        <f t="shared" si="2"/>
        <v>805500.4826219317</v>
      </c>
      <c r="I9" s="21">
        <f t="shared" si="2"/>
        <v>845775.5067530284</v>
      </c>
      <c r="J9" s="21">
        <f t="shared" si="2"/>
        <v>888064.2820906797</v>
      </c>
      <c r="K9" s="21">
        <f t="shared" si="2"/>
        <v>932467.4961952138</v>
      </c>
      <c r="L9" s="21">
        <f t="shared" si="2"/>
        <v>979090.8710049745</v>
      </c>
      <c r="M9" s="21">
        <f t="shared" si="2"/>
        <v>1028045.4145552232</v>
      </c>
      <c r="N9" s="32">
        <f>SUM(B9:M9)</f>
        <v>9567416.46304529</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c r="D11" s="175">
        <v>0</v>
      </c>
      <c r="E11" s="175">
        <v>0</v>
      </c>
      <c r="F11" s="175">
        <v>0</v>
      </c>
      <c r="G11" s="175">
        <v>0</v>
      </c>
      <c r="H11" s="175">
        <v>0</v>
      </c>
      <c r="I11" s="175">
        <v>200000</v>
      </c>
      <c r="J11" s="175">
        <v>0</v>
      </c>
      <c r="K11" s="175">
        <v>0</v>
      </c>
      <c r="L11" s="175">
        <v>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 aca="true" t="shared" si="3" ref="N13:N31">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9050</v>
      </c>
      <c r="C15" s="175">
        <v>9050</v>
      </c>
      <c r="D15" s="175">
        <v>13575</v>
      </c>
      <c r="E15" s="175">
        <v>13575</v>
      </c>
      <c r="F15" s="175">
        <v>13575</v>
      </c>
      <c r="G15" s="175">
        <v>13575</v>
      </c>
      <c r="H15" s="175">
        <v>13575</v>
      </c>
      <c r="I15" s="175">
        <v>13575</v>
      </c>
      <c r="J15" s="175">
        <v>13575</v>
      </c>
      <c r="K15" s="175">
        <v>13575</v>
      </c>
      <c r="L15" s="175">
        <v>13575</v>
      </c>
      <c r="M15" s="175">
        <v>18100</v>
      </c>
      <c r="N15" s="58">
        <f t="shared" si="3"/>
        <v>158375</v>
      </c>
    </row>
    <row r="16" spans="1:14" ht="15">
      <c r="A16" s="169" t="s">
        <v>199</v>
      </c>
      <c r="B16" s="175">
        <v>9050</v>
      </c>
      <c r="C16" s="175">
        <v>9050</v>
      </c>
      <c r="D16" s="175">
        <v>9050</v>
      </c>
      <c r="E16" s="175">
        <v>9050</v>
      </c>
      <c r="F16" s="175">
        <v>9050</v>
      </c>
      <c r="G16" s="175">
        <v>13575</v>
      </c>
      <c r="H16" s="175">
        <v>13575</v>
      </c>
      <c r="I16" s="175">
        <v>13575</v>
      </c>
      <c r="J16" s="175">
        <v>13575</v>
      </c>
      <c r="K16" s="175">
        <v>13575</v>
      </c>
      <c r="L16" s="175">
        <v>13575</v>
      </c>
      <c r="M16" s="175">
        <v>13575</v>
      </c>
      <c r="N16" s="58">
        <f t="shared" si="3"/>
        <v>140275</v>
      </c>
    </row>
    <row r="17" spans="1:14" ht="15">
      <c r="A17" s="169" t="s">
        <v>200</v>
      </c>
      <c r="B17" s="175">
        <v>9050</v>
      </c>
      <c r="C17" s="175">
        <v>9050</v>
      </c>
      <c r="D17" s="175">
        <v>9050</v>
      </c>
      <c r="E17" s="175">
        <v>9050</v>
      </c>
      <c r="F17" s="175">
        <v>9050</v>
      </c>
      <c r="G17" s="175">
        <v>9050</v>
      </c>
      <c r="H17" s="175">
        <v>9050</v>
      </c>
      <c r="I17" s="175">
        <v>13575</v>
      </c>
      <c r="J17" s="175">
        <v>13575</v>
      </c>
      <c r="K17" s="175">
        <v>13575</v>
      </c>
      <c r="L17" s="175">
        <v>13575</v>
      </c>
      <c r="M17" s="175">
        <v>13575</v>
      </c>
      <c r="N17" s="58">
        <f t="shared" si="3"/>
        <v>131225</v>
      </c>
    </row>
    <row r="18" spans="1:14" ht="15">
      <c r="A18" s="169" t="s">
        <v>201</v>
      </c>
      <c r="B18" s="175">
        <v>9050</v>
      </c>
      <c r="C18" s="175">
        <v>9050</v>
      </c>
      <c r="D18" s="175">
        <v>9050</v>
      </c>
      <c r="E18" s="175">
        <v>9050</v>
      </c>
      <c r="F18" s="175">
        <v>9050</v>
      </c>
      <c r="G18" s="175">
        <v>9050</v>
      </c>
      <c r="H18" s="175">
        <v>9050</v>
      </c>
      <c r="I18" s="175">
        <v>9050</v>
      </c>
      <c r="J18" s="175">
        <v>9050</v>
      </c>
      <c r="K18" s="175">
        <v>13575</v>
      </c>
      <c r="L18" s="175">
        <v>13575</v>
      </c>
      <c r="M18" s="175">
        <v>13575</v>
      </c>
      <c r="N18" s="58">
        <f>SUM(B18:M18)</f>
        <v>122175</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81">
        <v>8800</v>
      </c>
      <c r="C20" s="181">
        <v>8800</v>
      </c>
      <c r="D20" s="181">
        <v>8800</v>
      </c>
      <c r="E20" s="181">
        <v>8800</v>
      </c>
      <c r="F20" s="181">
        <v>8800</v>
      </c>
      <c r="G20" s="181">
        <v>8800</v>
      </c>
      <c r="H20" s="181">
        <v>8800</v>
      </c>
      <c r="I20" s="181">
        <v>8800</v>
      </c>
      <c r="J20" s="181">
        <v>8800</v>
      </c>
      <c r="K20" s="181">
        <v>8800</v>
      </c>
      <c r="L20" s="181">
        <v>8800</v>
      </c>
      <c r="M20" s="181">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1268.884</v>
      </c>
      <c r="C27" s="175">
        <f aca="true" t="shared" si="4" ref="C27:M27">(C4*300*30*0.007469)*2+1000</f>
        <v>1268.884</v>
      </c>
      <c r="D27" s="175">
        <f t="shared" si="4"/>
        <v>1403.326</v>
      </c>
      <c r="E27" s="175">
        <f t="shared" si="4"/>
        <v>1403.326</v>
      </c>
      <c r="F27" s="175">
        <f t="shared" si="4"/>
        <v>1403.326</v>
      </c>
      <c r="G27" s="175">
        <f t="shared" si="4"/>
        <v>1403.326</v>
      </c>
      <c r="H27" s="175">
        <f t="shared" si="4"/>
        <v>1403.326</v>
      </c>
      <c r="I27" s="175">
        <f t="shared" si="4"/>
        <v>1403.326</v>
      </c>
      <c r="J27" s="175">
        <f t="shared" si="4"/>
        <v>1403.326</v>
      </c>
      <c r="K27" s="175">
        <f t="shared" si="4"/>
        <v>1403.326</v>
      </c>
      <c r="L27" s="175">
        <f t="shared" si="4"/>
        <v>1403.326</v>
      </c>
      <c r="M27" s="175">
        <f t="shared" si="4"/>
        <v>1537.768</v>
      </c>
      <c r="N27" s="58">
        <f t="shared" si="3"/>
        <v>16705.470000000005</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f>6500+2*(B5/2)</f>
        <v>10855.629435729854</v>
      </c>
      <c r="C31" s="175">
        <f aca="true" t="shared" si="5" ref="C31:M31">6500+2*(C5/2)</f>
        <v>11073.410907516347</v>
      </c>
      <c r="D31" s="175">
        <f t="shared" si="5"/>
        <v>11302.081452892164</v>
      </c>
      <c r="E31" s="175">
        <f t="shared" si="5"/>
        <v>11542.185525536772</v>
      </c>
      <c r="F31" s="175">
        <f t="shared" si="5"/>
        <v>11794.29480181361</v>
      </c>
      <c r="G31" s="175">
        <f t="shared" si="5"/>
        <v>12059.009541904292</v>
      </c>
      <c r="H31" s="175">
        <f t="shared" si="5"/>
        <v>12336.960018999505</v>
      </c>
      <c r="I31" s="175">
        <f t="shared" si="5"/>
        <v>12628.80801994948</v>
      </c>
      <c r="J31" s="175">
        <f t="shared" si="5"/>
        <v>12935.248420946955</v>
      </c>
      <c r="K31" s="175">
        <f t="shared" si="5"/>
        <v>13257.010841994303</v>
      </c>
      <c r="L31" s="175">
        <f t="shared" si="5"/>
        <v>13594.861384094018</v>
      </c>
      <c r="M31" s="175">
        <f t="shared" si="5"/>
        <v>13949.604453298718</v>
      </c>
      <c r="N31" s="58">
        <f t="shared" si="3"/>
        <v>147329.10480467603</v>
      </c>
    </row>
    <row r="32" spans="1:14" ht="15">
      <c r="A32" s="170" t="s">
        <v>59</v>
      </c>
      <c r="B32" s="175">
        <f aca="true" t="shared" si="6" ref="B32:M32">3400+1*(B4/2)</f>
        <v>3401</v>
      </c>
      <c r="C32" s="175">
        <f t="shared" si="6"/>
        <v>3401</v>
      </c>
      <c r="D32" s="175">
        <f t="shared" si="6"/>
        <v>3401.5</v>
      </c>
      <c r="E32" s="175">
        <f t="shared" si="6"/>
        <v>3401.5</v>
      </c>
      <c r="F32" s="175">
        <f t="shared" si="6"/>
        <v>3401.5</v>
      </c>
      <c r="G32" s="175">
        <f t="shared" si="6"/>
        <v>3401.5</v>
      </c>
      <c r="H32" s="175">
        <f t="shared" si="6"/>
        <v>3401.5</v>
      </c>
      <c r="I32" s="175">
        <f t="shared" si="6"/>
        <v>3401.5</v>
      </c>
      <c r="J32" s="175">
        <f t="shared" si="6"/>
        <v>3401.5</v>
      </c>
      <c r="K32" s="175">
        <f t="shared" si="6"/>
        <v>3401.5</v>
      </c>
      <c r="L32" s="175">
        <f t="shared" si="6"/>
        <v>3401.5</v>
      </c>
      <c r="M32" s="175">
        <f t="shared" si="6"/>
        <v>3402</v>
      </c>
      <c r="N32" s="32">
        <f>SUM(B32:M32)</f>
        <v>40817.5</v>
      </c>
    </row>
    <row r="33" spans="1:14" ht="15.75" thickBot="1">
      <c r="A33" s="170" t="s">
        <v>58</v>
      </c>
      <c r="B33" s="175">
        <f aca="true" t="shared" si="7" ref="B33:M33">3400+1*(B5/2)</f>
        <v>5577.814717864927</v>
      </c>
      <c r="C33" s="175">
        <f t="shared" si="7"/>
        <v>5686.7054537581735</v>
      </c>
      <c r="D33" s="175">
        <f t="shared" si="7"/>
        <v>5801.040726446082</v>
      </c>
      <c r="E33" s="175">
        <f t="shared" si="7"/>
        <v>5921.092762768386</v>
      </c>
      <c r="F33" s="175">
        <f t="shared" si="7"/>
        <v>6047.147400906805</v>
      </c>
      <c r="G33" s="175">
        <f t="shared" si="7"/>
        <v>6179.504770952146</v>
      </c>
      <c r="H33" s="175">
        <f t="shared" si="7"/>
        <v>6318.480009499753</v>
      </c>
      <c r="I33" s="175">
        <f t="shared" si="7"/>
        <v>6464.40400997474</v>
      </c>
      <c r="J33" s="175">
        <f t="shared" si="7"/>
        <v>6617.624210473477</v>
      </c>
      <c r="K33" s="175">
        <f t="shared" si="7"/>
        <v>6778.505420997151</v>
      </c>
      <c r="L33" s="175">
        <f t="shared" si="7"/>
        <v>6947.430692047009</v>
      </c>
      <c r="M33" s="175">
        <f t="shared" si="7"/>
        <v>7124.802226649359</v>
      </c>
      <c r="N33" s="58">
        <f>SUM(B33:M33)</f>
        <v>75464.55240233801</v>
      </c>
    </row>
    <row r="34" spans="1:14" ht="15.75" thickBot="1">
      <c r="A34" s="171" t="s">
        <v>94</v>
      </c>
      <c r="B34" s="22">
        <f aca="true" t="shared" si="8" ref="B34:M34">B7-SUM(B9:B33)</f>
        <v>67767.4379901964</v>
      </c>
      <c r="C34" s="22">
        <f t="shared" si="8"/>
        <v>80507.65408970625</v>
      </c>
      <c r="D34" s="22">
        <f t="shared" si="8"/>
        <v>89224.93899419159</v>
      </c>
      <c r="E34" s="22">
        <f t="shared" si="8"/>
        <v>103271.02724390116</v>
      </c>
      <c r="F34" s="22">
        <f t="shared" si="8"/>
        <v>118019.41990609618</v>
      </c>
      <c r="G34" s="22">
        <f t="shared" si="8"/>
        <v>128980.23220140091</v>
      </c>
      <c r="H34" s="22">
        <f t="shared" si="8"/>
        <v>145240.33511147113</v>
      </c>
      <c r="I34" s="22">
        <f t="shared" si="8"/>
        <v>-42211.55683295545</v>
      </c>
      <c r="J34" s="22">
        <f t="shared" si="8"/>
        <v>175715.20662539708</v>
      </c>
      <c r="K34" s="22">
        <f t="shared" si="8"/>
        <v>190013.30825666687</v>
      </c>
      <c r="L34" s="22">
        <f t="shared" si="8"/>
        <v>209777.56496950006</v>
      </c>
      <c r="M34" s="22">
        <f t="shared" si="8"/>
        <v>225870.09251797502</v>
      </c>
      <c r="N34" s="23">
        <f>SUM(B34:M34)</f>
        <v>1492175.661073547</v>
      </c>
    </row>
    <row r="37" spans="1:14" ht="15">
      <c r="A37" s="247" t="s">
        <v>292</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45"/>
  <sheetViews>
    <sheetView view="pageLayout" workbookViewId="0" topLeftCell="A1">
      <selection activeCell="A2" sqref="A2"/>
    </sheetView>
  </sheetViews>
  <sheetFormatPr defaultColWidth="9.140625" defaultRowHeight="15"/>
  <cols>
    <col min="1" max="1" width="27.57421875" style="0" customWidth="1"/>
    <col min="2" max="13" width="14.28125" style="0" bestFit="1" customWidth="1"/>
    <col min="14" max="14" width="15.2812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f>INT(B5/Calcs!$B$21)+1</f>
        <v>4</v>
      </c>
      <c r="C4" s="177">
        <f>INT(C5/Calcs!$B$21)+1</f>
        <v>4</v>
      </c>
      <c r="D4" s="177">
        <f>INT(D5/Calcs!$B$21)+1</f>
        <v>4</v>
      </c>
      <c r="E4" s="177">
        <f>INT(E5/Calcs!$B$21)+1</f>
        <v>4</v>
      </c>
      <c r="F4" s="177">
        <v>4</v>
      </c>
      <c r="G4" s="177">
        <v>4</v>
      </c>
      <c r="H4" s="177">
        <v>4</v>
      </c>
      <c r="I4" s="177">
        <v>4</v>
      </c>
      <c r="J4" s="177">
        <f>INT(J5/Calcs!$B$21)+1</f>
        <v>5</v>
      </c>
      <c r="K4" s="177">
        <f>INT(K5/Calcs!$B$21)+1</f>
        <v>5</v>
      </c>
      <c r="L4" s="177">
        <f>INT(L5/Calcs!$B$21)+1</f>
        <v>5</v>
      </c>
      <c r="M4" s="177">
        <v>5</v>
      </c>
      <c r="N4" s="75"/>
    </row>
    <row r="5" spans="1:14" ht="15">
      <c r="A5" s="169" t="s">
        <v>284</v>
      </c>
      <c r="B5" s="173">
        <f>'FY 4 Worst'!M5*1.03</f>
        <v>7673.092586897681</v>
      </c>
      <c r="C5" s="173">
        <f>B5*1.03</f>
        <v>7903.285364504612</v>
      </c>
      <c r="D5" s="173">
        <f aca="true" t="shared" si="0" ref="D5:M5">C5*1.03</f>
        <v>8140.38392543975</v>
      </c>
      <c r="E5" s="173">
        <f t="shared" si="0"/>
        <v>8384.595443202943</v>
      </c>
      <c r="F5" s="173">
        <f t="shared" si="0"/>
        <v>8636.133306499032</v>
      </c>
      <c r="G5" s="173">
        <f t="shared" si="0"/>
        <v>8895.217305694003</v>
      </c>
      <c r="H5" s="173">
        <f t="shared" si="0"/>
        <v>9162.073824864823</v>
      </c>
      <c r="I5" s="173">
        <f t="shared" si="0"/>
        <v>9436.936039610768</v>
      </c>
      <c r="J5" s="173">
        <f t="shared" si="0"/>
        <v>9720.044120799092</v>
      </c>
      <c r="K5" s="173">
        <f t="shared" si="0"/>
        <v>10011.645444423064</v>
      </c>
      <c r="L5" s="173">
        <f t="shared" si="0"/>
        <v>10311.994807755756</v>
      </c>
      <c r="M5" s="173">
        <f t="shared" si="0"/>
        <v>10621.35465198843</v>
      </c>
      <c r="N5" s="127">
        <f>SUM(B5:M5)</f>
        <v>108896.75682167994</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4" ht="15">
      <c r="A7" s="169" t="s">
        <v>55</v>
      </c>
      <c r="B7" s="31">
        <f>B5*$D$3</f>
        <v>1519272.3322057407</v>
      </c>
      <c r="C7" s="31">
        <f aca="true" t="shared" si="1" ref="C7:M7">C5*$D$3</f>
        <v>1564850.5021719132</v>
      </c>
      <c r="D7" s="31">
        <f t="shared" si="1"/>
        <v>1611796.0172370705</v>
      </c>
      <c r="E7" s="31">
        <f t="shared" si="1"/>
        <v>1660149.8977541828</v>
      </c>
      <c r="F7" s="31">
        <f t="shared" si="1"/>
        <v>1709954.3946868083</v>
      </c>
      <c r="G7" s="31">
        <f t="shared" si="1"/>
        <v>1761253.0265274125</v>
      </c>
      <c r="H7" s="31">
        <f t="shared" si="1"/>
        <v>1814090.617323235</v>
      </c>
      <c r="I7" s="31">
        <f t="shared" si="1"/>
        <v>1868513.335842932</v>
      </c>
      <c r="J7" s="31">
        <f t="shared" si="1"/>
        <v>1924568.7359182201</v>
      </c>
      <c r="K7" s="31">
        <f t="shared" si="1"/>
        <v>1982305.7979957666</v>
      </c>
      <c r="L7" s="31">
        <f t="shared" si="1"/>
        <v>2041774.9719356399</v>
      </c>
      <c r="M7" s="31">
        <f t="shared" si="1"/>
        <v>2103028.221093709</v>
      </c>
      <c r="N7" s="32">
        <f>SUM(B7:M7)</f>
        <v>21561557.850692634</v>
      </c>
    </row>
    <row r="8" spans="1:14" ht="15">
      <c r="A8" s="133"/>
      <c r="B8" s="36"/>
      <c r="C8" s="36"/>
      <c r="D8" s="36"/>
      <c r="E8" s="36"/>
      <c r="F8" s="36"/>
      <c r="G8" s="36"/>
      <c r="H8" s="36"/>
      <c r="I8" s="36"/>
      <c r="J8" s="36"/>
      <c r="K8" s="36"/>
      <c r="L8" s="36"/>
      <c r="M8" s="36"/>
      <c r="N8" s="37"/>
    </row>
    <row r="9" spans="1:14" ht="15">
      <c r="A9" s="169" t="s">
        <v>56</v>
      </c>
      <c r="B9" s="21">
        <f>B5*$B$3</f>
        <v>1058886.77699188</v>
      </c>
      <c r="C9" s="21">
        <f aca="true" t="shared" si="2" ref="C9:M9">C5*$B$3</f>
        <v>1090653.3803016364</v>
      </c>
      <c r="D9" s="21">
        <f t="shared" si="2"/>
        <v>1123372.9817106854</v>
      </c>
      <c r="E9" s="21">
        <f t="shared" si="2"/>
        <v>1157074.1711620062</v>
      </c>
      <c r="F9" s="21">
        <f t="shared" si="2"/>
        <v>1191786.3962968665</v>
      </c>
      <c r="G9" s="21">
        <f t="shared" si="2"/>
        <v>1227539.9881857724</v>
      </c>
      <c r="H9" s="21">
        <f t="shared" si="2"/>
        <v>1264366.1878313455</v>
      </c>
      <c r="I9" s="21">
        <f t="shared" si="2"/>
        <v>1302297.173466286</v>
      </c>
      <c r="J9" s="21">
        <f t="shared" si="2"/>
        <v>1341366.0886702747</v>
      </c>
      <c r="K9" s="21">
        <f t="shared" si="2"/>
        <v>1381607.0713303827</v>
      </c>
      <c r="L9" s="21">
        <f t="shared" si="2"/>
        <v>1423055.2834702944</v>
      </c>
      <c r="M9" s="21">
        <f t="shared" si="2"/>
        <v>1465746.9419744033</v>
      </c>
      <c r="N9" s="32">
        <f>SUM(B9:M9)</f>
        <v>15027752.441391835</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0</v>
      </c>
      <c r="D11" s="175">
        <v>0</v>
      </c>
      <c r="E11" s="175">
        <v>0</v>
      </c>
      <c r="F11" s="175">
        <v>200000</v>
      </c>
      <c r="G11" s="175">
        <v>0</v>
      </c>
      <c r="H11" s="175">
        <v>0</v>
      </c>
      <c r="I11" s="175">
        <v>0</v>
      </c>
      <c r="J11" s="175">
        <v>0</v>
      </c>
      <c r="K11" s="175">
        <v>0</v>
      </c>
      <c r="L11" s="175">
        <v>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 aca="true" t="shared" si="3" ref="N13:N31">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18100</v>
      </c>
      <c r="C15" s="175">
        <v>18100</v>
      </c>
      <c r="D15" s="175">
        <v>18100</v>
      </c>
      <c r="E15" s="175">
        <v>18100</v>
      </c>
      <c r="F15" s="175">
        <v>18100</v>
      </c>
      <c r="G15" s="175">
        <v>18100</v>
      </c>
      <c r="H15" s="175">
        <v>18100</v>
      </c>
      <c r="I15" s="175">
        <v>18100</v>
      </c>
      <c r="J15" s="175">
        <v>22625</v>
      </c>
      <c r="K15" s="175">
        <v>22625</v>
      </c>
      <c r="L15" s="175">
        <v>22625</v>
      </c>
      <c r="M15" s="175">
        <v>22625</v>
      </c>
      <c r="N15" s="58">
        <f t="shared" si="3"/>
        <v>235300</v>
      </c>
    </row>
    <row r="16" spans="1:14" ht="15">
      <c r="A16" s="169" t="s">
        <v>199</v>
      </c>
      <c r="B16" s="175">
        <v>13575</v>
      </c>
      <c r="C16" s="175">
        <v>18100</v>
      </c>
      <c r="D16" s="175">
        <v>18100</v>
      </c>
      <c r="E16" s="175">
        <v>18100</v>
      </c>
      <c r="F16" s="175">
        <v>18100</v>
      </c>
      <c r="G16" s="175">
        <v>18100</v>
      </c>
      <c r="H16" s="175">
        <v>18100</v>
      </c>
      <c r="I16" s="175">
        <v>18100</v>
      </c>
      <c r="J16" s="175">
        <v>18100</v>
      </c>
      <c r="K16" s="175">
        <v>18100</v>
      </c>
      <c r="L16" s="175">
        <v>22625</v>
      </c>
      <c r="M16" s="175">
        <v>22625</v>
      </c>
      <c r="N16" s="58">
        <f t="shared" si="3"/>
        <v>221725</v>
      </c>
    </row>
    <row r="17" spans="1:14" ht="15">
      <c r="A17" s="169" t="s">
        <v>200</v>
      </c>
      <c r="B17" s="175">
        <v>13575</v>
      </c>
      <c r="C17" s="175">
        <v>13575</v>
      </c>
      <c r="D17" s="175">
        <v>13575</v>
      </c>
      <c r="E17" s="175">
        <v>13575</v>
      </c>
      <c r="F17" s="175">
        <v>18100</v>
      </c>
      <c r="G17" s="175">
        <v>18100</v>
      </c>
      <c r="H17" s="175">
        <v>18100</v>
      </c>
      <c r="I17" s="175">
        <v>18100</v>
      </c>
      <c r="J17" s="175">
        <v>18100</v>
      </c>
      <c r="K17" s="175">
        <v>18100</v>
      </c>
      <c r="L17" s="175">
        <v>18100</v>
      </c>
      <c r="M17" s="175">
        <v>18100</v>
      </c>
      <c r="N17" s="58">
        <f t="shared" si="3"/>
        <v>199100</v>
      </c>
    </row>
    <row r="18" spans="1:14" ht="15">
      <c r="A18" s="169" t="s">
        <v>201</v>
      </c>
      <c r="B18" s="175">
        <v>13575</v>
      </c>
      <c r="C18" s="175">
        <v>13575</v>
      </c>
      <c r="D18" s="175">
        <v>13575</v>
      </c>
      <c r="E18" s="175">
        <v>13575</v>
      </c>
      <c r="F18" s="175">
        <v>13575</v>
      </c>
      <c r="G18" s="175">
        <v>13575</v>
      </c>
      <c r="H18" s="175">
        <v>18100</v>
      </c>
      <c r="I18" s="175">
        <v>18100</v>
      </c>
      <c r="J18" s="175">
        <v>18100</v>
      </c>
      <c r="K18" s="175">
        <v>18100</v>
      </c>
      <c r="L18" s="175">
        <v>18100</v>
      </c>
      <c r="M18" s="175">
        <v>18100</v>
      </c>
      <c r="N18" s="58">
        <f>SUM(B18:M18)</f>
        <v>190050</v>
      </c>
    </row>
    <row r="19" spans="1:14" ht="15">
      <c r="A19" s="169" t="s">
        <v>203</v>
      </c>
      <c r="B19" s="181">
        <v>8800</v>
      </c>
      <c r="C19" s="181">
        <v>8800</v>
      </c>
      <c r="D19" s="181">
        <v>8800</v>
      </c>
      <c r="E19" s="181">
        <v>8800</v>
      </c>
      <c r="F19" s="181">
        <v>8800</v>
      </c>
      <c r="G19" s="181">
        <v>8800</v>
      </c>
      <c r="H19" s="181">
        <v>8800</v>
      </c>
      <c r="I19" s="181">
        <v>8800</v>
      </c>
      <c r="J19" s="181">
        <v>8800</v>
      </c>
      <c r="K19" s="181">
        <v>8800</v>
      </c>
      <c r="L19" s="181">
        <v>8800</v>
      </c>
      <c r="M19" s="181">
        <v>8800</v>
      </c>
      <c r="N19" s="58">
        <f>SUM(B19:M19)</f>
        <v>105600</v>
      </c>
    </row>
    <row r="20" spans="1:14" ht="15">
      <c r="A20" s="169" t="s">
        <v>202</v>
      </c>
      <c r="B20" s="181">
        <v>8800</v>
      </c>
      <c r="C20" s="181">
        <v>8800</v>
      </c>
      <c r="D20" s="181">
        <v>8800</v>
      </c>
      <c r="E20" s="181">
        <v>8800</v>
      </c>
      <c r="F20" s="181">
        <v>8800</v>
      </c>
      <c r="G20" s="181">
        <v>8800</v>
      </c>
      <c r="H20" s="181">
        <v>8800</v>
      </c>
      <c r="I20" s="181">
        <v>8800</v>
      </c>
      <c r="J20" s="181">
        <v>8800</v>
      </c>
      <c r="K20" s="181">
        <v>8800</v>
      </c>
      <c r="L20" s="181">
        <v>8800</v>
      </c>
      <c r="M20" s="181">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1537.768</v>
      </c>
      <c r="C27" s="175">
        <f aca="true" t="shared" si="4" ref="C27:M27">(C4*300*30*0.007469)*2+1000</f>
        <v>1537.768</v>
      </c>
      <c r="D27" s="175">
        <f t="shared" si="4"/>
        <v>1537.768</v>
      </c>
      <c r="E27" s="175">
        <f t="shared" si="4"/>
        <v>1537.768</v>
      </c>
      <c r="F27" s="175">
        <f t="shared" si="4"/>
        <v>1537.768</v>
      </c>
      <c r="G27" s="175">
        <f t="shared" si="4"/>
        <v>1537.768</v>
      </c>
      <c r="H27" s="175">
        <f t="shared" si="4"/>
        <v>1537.768</v>
      </c>
      <c r="I27" s="175">
        <f t="shared" si="4"/>
        <v>1537.768</v>
      </c>
      <c r="J27" s="175">
        <f t="shared" si="4"/>
        <v>1672.21</v>
      </c>
      <c r="K27" s="175">
        <f t="shared" si="4"/>
        <v>1672.21</v>
      </c>
      <c r="L27" s="175">
        <f t="shared" si="4"/>
        <v>1672.21</v>
      </c>
      <c r="M27" s="175">
        <f t="shared" si="4"/>
        <v>1672.21</v>
      </c>
      <c r="N27" s="58">
        <f t="shared" si="3"/>
        <v>18990.983999999997</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f>6500+2*(B5/2)</f>
        <v>14173.092586897681</v>
      </c>
      <c r="C31" s="175">
        <f aca="true" t="shared" si="5" ref="C31:M31">6500+2*(C5/2)</f>
        <v>14403.285364504613</v>
      </c>
      <c r="D31" s="175">
        <f t="shared" si="5"/>
        <v>14640.38392543975</v>
      </c>
      <c r="E31" s="175">
        <f t="shared" si="5"/>
        <v>14884.595443202943</v>
      </c>
      <c r="F31" s="175">
        <f t="shared" si="5"/>
        <v>15136.133306499032</v>
      </c>
      <c r="G31" s="175">
        <f t="shared" si="5"/>
        <v>15395.217305694003</v>
      </c>
      <c r="H31" s="175">
        <f t="shared" si="5"/>
        <v>15662.073824864823</v>
      </c>
      <c r="I31" s="175">
        <f t="shared" si="5"/>
        <v>15936.936039610768</v>
      </c>
      <c r="J31" s="175">
        <f t="shared" si="5"/>
        <v>16220.044120799092</v>
      </c>
      <c r="K31" s="175">
        <f t="shared" si="5"/>
        <v>16511.645444423062</v>
      </c>
      <c r="L31" s="175">
        <f t="shared" si="5"/>
        <v>16811.994807755756</v>
      </c>
      <c r="M31" s="175">
        <f t="shared" si="5"/>
        <v>17121.35465198843</v>
      </c>
      <c r="N31" s="58">
        <f t="shared" si="3"/>
        <v>186896.75682167994</v>
      </c>
    </row>
    <row r="32" spans="1:14" ht="15">
      <c r="A32" s="170" t="s">
        <v>59</v>
      </c>
      <c r="B32" s="175">
        <f aca="true" t="shared" si="6" ref="B32:M32">3400+1*(B4/2)</f>
        <v>3402</v>
      </c>
      <c r="C32" s="175">
        <f t="shared" si="6"/>
        <v>3402</v>
      </c>
      <c r="D32" s="175">
        <f t="shared" si="6"/>
        <v>3402</v>
      </c>
      <c r="E32" s="175">
        <f t="shared" si="6"/>
        <v>3402</v>
      </c>
      <c r="F32" s="175">
        <f t="shared" si="6"/>
        <v>3402</v>
      </c>
      <c r="G32" s="175">
        <f t="shared" si="6"/>
        <v>3402</v>
      </c>
      <c r="H32" s="175">
        <f t="shared" si="6"/>
        <v>3402</v>
      </c>
      <c r="I32" s="175">
        <f t="shared" si="6"/>
        <v>3402</v>
      </c>
      <c r="J32" s="175">
        <f t="shared" si="6"/>
        <v>3402.5</v>
      </c>
      <c r="K32" s="175">
        <f t="shared" si="6"/>
        <v>3402.5</v>
      </c>
      <c r="L32" s="175">
        <f t="shared" si="6"/>
        <v>3402.5</v>
      </c>
      <c r="M32" s="175">
        <f t="shared" si="6"/>
        <v>3402.5</v>
      </c>
      <c r="N32" s="32">
        <f>SUM(B32:M32)</f>
        <v>40826</v>
      </c>
    </row>
    <row r="33" spans="1:14" ht="15.75" thickBot="1">
      <c r="A33" s="170" t="s">
        <v>58</v>
      </c>
      <c r="B33" s="175">
        <f aca="true" t="shared" si="7" ref="B33:M33">3400+1*(B5/2)</f>
        <v>7236.5462934488405</v>
      </c>
      <c r="C33" s="175">
        <f t="shared" si="7"/>
        <v>7351.642682252306</v>
      </c>
      <c r="D33" s="175">
        <f t="shared" si="7"/>
        <v>7470.191962719875</v>
      </c>
      <c r="E33" s="175">
        <f t="shared" si="7"/>
        <v>7592.2977216014715</v>
      </c>
      <c r="F33" s="175">
        <f t="shared" si="7"/>
        <v>7718.066653249516</v>
      </c>
      <c r="G33" s="175">
        <f t="shared" si="7"/>
        <v>7847.608652847001</v>
      </c>
      <c r="H33" s="175">
        <f t="shared" si="7"/>
        <v>7981.036912432412</v>
      </c>
      <c r="I33" s="175">
        <f t="shared" si="7"/>
        <v>8118.468019805384</v>
      </c>
      <c r="J33" s="175">
        <f t="shared" si="7"/>
        <v>8260.022060399546</v>
      </c>
      <c r="K33" s="175">
        <f t="shared" si="7"/>
        <v>8405.822722211531</v>
      </c>
      <c r="L33" s="175">
        <f t="shared" si="7"/>
        <v>8555.997403877878</v>
      </c>
      <c r="M33" s="175">
        <f t="shared" si="7"/>
        <v>8710.677325994215</v>
      </c>
      <c r="N33" s="35">
        <f>SUM(B33:M33)</f>
        <v>95248.37841083997</v>
      </c>
    </row>
    <row r="34" spans="1:14" ht="15.75" thickBot="1">
      <c r="A34" s="171" t="s">
        <v>94</v>
      </c>
      <c r="B34" s="22">
        <f aca="true" t="shared" si="8" ref="B34:M34">B7-SUM(B9:B33)</f>
        <v>238944.1483335141</v>
      </c>
      <c r="C34" s="22">
        <f t="shared" si="8"/>
        <v>247885.42582351994</v>
      </c>
      <c r="D34" s="22">
        <f t="shared" si="8"/>
        <v>261755.69163822546</v>
      </c>
      <c r="E34" s="22">
        <f t="shared" si="8"/>
        <v>276042.06542737223</v>
      </c>
      <c r="F34" s="22">
        <f t="shared" si="8"/>
        <v>86232.03043019329</v>
      </c>
      <c r="G34" s="22">
        <f t="shared" si="8"/>
        <v>301388.4443830992</v>
      </c>
      <c r="H34" s="22">
        <f t="shared" si="8"/>
        <v>312474.5507545923</v>
      </c>
      <c r="I34" s="22">
        <f t="shared" si="8"/>
        <v>328553.9903172301</v>
      </c>
      <c r="J34" s="22">
        <f t="shared" si="8"/>
        <v>340455.87106674677</v>
      </c>
      <c r="K34" s="22">
        <f t="shared" si="8"/>
        <v>357514.5484987495</v>
      </c>
      <c r="L34" s="22">
        <f t="shared" si="8"/>
        <v>370559.98625371186</v>
      </c>
      <c r="M34" s="22">
        <f t="shared" si="8"/>
        <v>388657.5371413231</v>
      </c>
      <c r="N34" s="23">
        <f>SUM(B34:M34)</f>
        <v>3510464.2900682776</v>
      </c>
    </row>
    <row r="37" spans="1:14" ht="15">
      <c r="A37" s="247" t="s">
        <v>293</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3" spans="1:14" ht="15">
      <c r="A43" s="247"/>
      <c r="B43" s="247"/>
      <c r="C43" s="247"/>
      <c r="D43" s="247"/>
      <c r="E43" s="247"/>
      <c r="F43" s="247"/>
      <c r="G43" s="247"/>
      <c r="H43" s="247"/>
      <c r="I43" s="247"/>
      <c r="J43" s="247"/>
      <c r="K43" s="247"/>
      <c r="L43" s="247"/>
      <c r="M43" s="247"/>
      <c r="N43" s="247"/>
    </row>
    <row r="45" spans="2:7" ht="15">
      <c r="B45" s="248" t="s">
        <v>288</v>
      </c>
      <c r="C45" s="248"/>
      <c r="D45" s="248"/>
      <c r="E45" s="248"/>
      <c r="F45" s="248"/>
      <c r="G45" s="248"/>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59"/>
  <sheetViews>
    <sheetView view="pageLayout" workbookViewId="0" topLeftCell="C1">
      <selection activeCell="C1" sqref="C1:O1"/>
    </sheetView>
  </sheetViews>
  <sheetFormatPr defaultColWidth="9.140625" defaultRowHeight="15"/>
  <cols>
    <col min="1" max="1" width="29.8515625" style="0" customWidth="1"/>
    <col min="2" max="2" width="11.00390625" style="0" customWidth="1"/>
    <col min="3" max="3" width="15.140625" style="0" customWidth="1"/>
    <col min="4" max="4" width="15.00390625" style="0" customWidth="1"/>
    <col min="5" max="5" width="14.8515625" style="0" customWidth="1"/>
    <col min="6" max="6" width="15.00390625" style="0" customWidth="1"/>
    <col min="7" max="7" width="14.8515625" style="0" customWidth="1"/>
    <col min="8" max="8" width="15.00390625" style="0" customWidth="1"/>
    <col min="9" max="9" width="15.140625" style="0" customWidth="1"/>
    <col min="10" max="10" width="14.8515625" style="0" customWidth="1"/>
    <col min="11" max="11" width="15.00390625" style="0" customWidth="1"/>
    <col min="12" max="12" width="14.8515625" style="0" customWidth="1"/>
    <col min="13" max="13" width="15.8515625" style="0" customWidth="1"/>
    <col min="14" max="14" width="15.140625" style="0" customWidth="1"/>
    <col min="15" max="15" width="15.28125" style="0" bestFit="1" customWidth="1"/>
  </cols>
  <sheetData>
    <row r="1" spans="1:15" ht="15.75" thickBot="1">
      <c r="A1" s="102"/>
      <c r="C1" s="262" t="s">
        <v>197</v>
      </c>
      <c r="D1" s="263"/>
      <c r="E1" s="263"/>
      <c r="F1" s="263"/>
      <c r="G1" s="263"/>
      <c r="H1" s="263"/>
      <c r="I1" s="263"/>
      <c r="J1" s="263"/>
      <c r="K1" s="263"/>
      <c r="L1" s="263"/>
      <c r="M1" s="263"/>
      <c r="N1" s="263"/>
      <c r="O1" s="264"/>
    </row>
    <row r="2" spans="1:15" ht="15.75" thickBot="1">
      <c r="A2" s="265"/>
      <c r="B2" s="265"/>
      <c r="C2" s="210">
        <v>1</v>
      </c>
      <c r="D2" s="211">
        <v>2</v>
      </c>
      <c r="E2" s="211">
        <v>3</v>
      </c>
      <c r="F2" s="211">
        <v>4</v>
      </c>
      <c r="G2" s="211">
        <v>5</v>
      </c>
      <c r="H2" s="211">
        <v>6</v>
      </c>
      <c r="I2" s="211">
        <v>7</v>
      </c>
      <c r="J2" s="211">
        <v>8</v>
      </c>
      <c r="K2" s="211">
        <v>9</v>
      </c>
      <c r="L2" s="211">
        <v>10</v>
      </c>
      <c r="M2" s="211">
        <v>11</v>
      </c>
      <c r="N2" s="212">
        <v>12</v>
      </c>
      <c r="O2" s="213" t="s">
        <v>209</v>
      </c>
    </row>
    <row r="3" spans="1:16" ht="15.75" thickBot="1">
      <c r="A3" s="258" t="s">
        <v>195</v>
      </c>
      <c r="B3" s="259"/>
      <c r="C3" s="30">
        <f>'FY 0 Best'!B7</f>
        <v>0</v>
      </c>
      <c r="D3" s="30">
        <f>'FY 0 Best'!C7</f>
        <v>0</v>
      </c>
      <c r="E3" s="30">
        <f>'FY 0 Best'!D7</f>
        <v>0</v>
      </c>
      <c r="F3" s="30">
        <f>'FY 0 Best'!E7</f>
        <v>0</v>
      </c>
      <c r="G3" s="30">
        <f>'FY 0 Best'!F7</f>
        <v>0</v>
      </c>
      <c r="H3" s="30">
        <f>'FY 0 Best'!G7</f>
        <v>0</v>
      </c>
      <c r="I3" s="30">
        <f>'FY 0 Best'!H7</f>
        <v>0</v>
      </c>
      <c r="J3" s="30">
        <f>'FY 0 Best'!I7</f>
        <v>0</v>
      </c>
      <c r="K3" s="30">
        <f>'FY 0 Best'!J7</f>
        <v>0</v>
      </c>
      <c r="L3" s="30">
        <f>'FY 0 Best'!K7</f>
        <v>0</v>
      </c>
      <c r="M3" s="30">
        <f>'FY 0 Best'!L7</f>
        <v>0</v>
      </c>
      <c r="N3" s="30">
        <f>'FY 0 Best'!M7</f>
        <v>0</v>
      </c>
      <c r="O3" s="103">
        <f>SUM(C3:N3)</f>
        <v>0</v>
      </c>
      <c r="P3" s="104"/>
    </row>
    <row r="4" spans="1:15" ht="15.75" thickBot="1">
      <c r="A4" s="260" t="s">
        <v>196</v>
      </c>
      <c r="B4" s="261"/>
      <c r="C4" s="30">
        <f>SUM('FY 0 Best'!B9:B33)</f>
        <v>47500</v>
      </c>
      <c r="D4" s="30">
        <f>SUM('FY 0 Best'!C9:C33)</f>
        <v>22500</v>
      </c>
      <c r="E4" s="30">
        <f>SUM('FY 0 Best'!D9:D33)</f>
        <v>22500</v>
      </c>
      <c r="F4" s="30">
        <f>SUM('FY 0 Best'!E9:E33)</f>
        <v>22500</v>
      </c>
      <c r="G4" s="30">
        <f>SUM('FY 0 Best'!F9:F33)</f>
        <v>22500</v>
      </c>
      <c r="H4" s="30">
        <f>SUM('FY 0 Best'!G9:G33)</f>
        <v>22500</v>
      </c>
      <c r="I4" s="30">
        <f>SUM('FY 0 Best'!H9:H33)</f>
        <v>22500</v>
      </c>
      <c r="J4" s="30">
        <f>SUM('FY 0 Best'!I9:I33)</f>
        <v>22500</v>
      </c>
      <c r="K4" s="30">
        <f>SUM('FY 0 Best'!J9:J33)</f>
        <v>22500</v>
      </c>
      <c r="L4" s="30">
        <f>SUM('FY 0 Best'!K9:K33)</f>
        <v>22500</v>
      </c>
      <c r="M4" s="30">
        <f>SUM('FY 0 Best'!L9:L33)</f>
        <v>22500</v>
      </c>
      <c r="N4" s="30">
        <f>SUM('FY 0 Best'!M9:M33)</f>
        <v>222500</v>
      </c>
      <c r="O4" s="105">
        <f>SUM(C4:N4)</f>
        <v>495000</v>
      </c>
    </row>
    <row r="5" spans="1:15" ht="15.75" thickBot="1">
      <c r="A5" s="253" t="s">
        <v>212</v>
      </c>
      <c r="B5" s="254"/>
      <c r="C5" s="214">
        <f>4000000+C3-C4</f>
        <v>3952500</v>
      </c>
      <c r="D5" s="106">
        <f>C5+D3-D4</f>
        <v>3930000</v>
      </c>
      <c r="E5" s="106">
        <f aca="true" t="shared" si="0" ref="E5:N5">D5+E3-E4</f>
        <v>3907500</v>
      </c>
      <c r="F5" s="106">
        <f t="shared" si="0"/>
        <v>3885000</v>
      </c>
      <c r="G5" s="106">
        <f t="shared" si="0"/>
        <v>3862500</v>
      </c>
      <c r="H5" s="106">
        <f t="shared" si="0"/>
        <v>3840000</v>
      </c>
      <c r="I5" s="106">
        <f t="shared" si="0"/>
        <v>3817500</v>
      </c>
      <c r="J5" s="106">
        <f t="shared" si="0"/>
        <v>3795000</v>
      </c>
      <c r="K5" s="106">
        <f t="shared" si="0"/>
        <v>3772500</v>
      </c>
      <c r="L5" s="106">
        <f t="shared" si="0"/>
        <v>3750000</v>
      </c>
      <c r="M5" s="106">
        <f t="shared" si="0"/>
        <v>3727500</v>
      </c>
      <c r="N5" s="106">
        <f t="shared" si="0"/>
        <v>3505000</v>
      </c>
      <c r="O5" s="107">
        <f>N5</f>
        <v>3505000</v>
      </c>
    </row>
    <row r="6" spans="1:15" ht="15">
      <c r="A6" s="108"/>
      <c r="B6" s="109"/>
      <c r="C6" s="110"/>
      <c r="D6" s="110"/>
      <c r="E6" s="110"/>
      <c r="F6" s="110"/>
      <c r="G6" s="110"/>
      <c r="H6" s="110"/>
      <c r="I6" s="110"/>
      <c r="J6" s="110"/>
      <c r="K6" s="110"/>
      <c r="L6" s="110"/>
      <c r="M6" s="110"/>
      <c r="N6" s="110"/>
      <c r="O6" s="111"/>
    </row>
    <row r="7" spans="1:15" ht="15">
      <c r="A7" s="108"/>
      <c r="B7" s="109"/>
      <c r="C7" s="110"/>
      <c r="D7" s="110"/>
      <c r="E7" s="110"/>
      <c r="F7" s="110"/>
      <c r="G7" s="110"/>
      <c r="H7" s="110"/>
      <c r="I7" s="110"/>
      <c r="J7" s="110"/>
      <c r="K7" s="110"/>
      <c r="L7" s="110"/>
      <c r="M7" s="110"/>
      <c r="N7" s="110"/>
      <c r="O7" s="111"/>
    </row>
    <row r="8" spans="1:15" ht="15">
      <c r="A8" s="108"/>
      <c r="B8" s="109"/>
      <c r="C8" s="110"/>
      <c r="D8" s="110"/>
      <c r="E8" s="110"/>
      <c r="F8" s="110"/>
      <c r="G8" s="110"/>
      <c r="H8" s="110"/>
      <c r="I8" s="110"/>
      <c r="J8" s="110"/>
      <c r="K8" s="110"/>
      <c r="L8" s="110"/>
      <c r="M8" s="110"/>
      <c r="N8" s="110"/>
      <c r="O8" s="111"/>
    </row>
    <row r="9" ht="15.75" thickBot="1"/>
    <row r="10" spans="3:15" ht="15.75" thickBot="1">
      <c r="C10" s="255" t="s">
        <v>187</v>
      </c>
      <c r="D10" s="256"/>
      <c r="E10" s="256"/>
      <c r="F10" s="256"/>
      <c r="G10" s="256"/>
      <c r="H10" s="256"/>
      <c r="I10" s="256"/>
      <c r="J10" s="256"/>
      <c r="K10" s="256"/>
      <c r="L10" s="256"/>
      <c r="M10" s="256"/>
      <c r="N10" s="256"/>
      <c r="O10" s="257"/>
    </row>
    <row r="11" spans="3:15" ht="15.75" thickBot="1">
      <c r="C11" s="210">
        <v>1</v>
      </c>
      <c r="D11" s="211">
        <v>2</v>
      </c>
      <c r="E11" s="211">
        <v>3</v>
      </c>
      <c r="F11" s="211">
        <v>4</v>
      </c>
      <c r="G11" s="211">
        <v>5</v>
      </c>
      <c r="H11" s="211">
        <v>6</v>
      </c>
      <c r="I11" s="211">
        <v>7</v>
      </c>
      <c r="J11" s="211">
        <v>8</v>
      </c>
      <c r="K11" s="211">
        <v>9</v>
      </c>
      <c r="L11" s="211">
        <v>10</v>
      </c>
      <c r="M11" s="211">
        <v>11</v>
      </c>
      <c r="N11" s="212">
        <v>12</v>
      </c>
      <c r="O11" s="213" t="s">
        <v>188</v>
      </c>
    </row>
    <row r="12" spans="1:15" ht="15.75" thickBot="1">
      <c r="A12" s="258" t="s">
        <v>195</v>
      </c>
      <c r="B12" s="259"/>
      <c r="C12" s="30">
        <f>'FY 1 Best'!B7</f>
        <v>0</v>
      </c>
      <c r="D12" s="30">
        <f>'FY 1 Best'!C7</f>
        <v>0</v>
      </c>
      <c r="E12" s="30">
        <f>'FY 1 Best'!D7</f>
        <v>0</v>
      </c>
      <c r="F12" s="30">
        <f>'FY 1 Best'!E7</f>
        <v>23760</v>
      </c>
      <c r="G12" s="30">
        <f>'FY 1 Best'!F7</f>
        <v>47520</v>
      </c>
      <c r="H12" s="30">
        <f>'FY 1 Best'!G7</f>
        <v>95040</v>
      </c>
      <c r="I12" s="30">
        <f>'FY 1 Best'!H7</f>
        <v>190080</v>
      </c>
      <c r="J12" s="30">
        <f>'FY 1 Best'!I7</f>
        <v>218592</v>
      </c>
      <c r="K12" s="30">
        <f>'FY 1 Best'!J7</f>
        <v>251380.8</v>
      </c>
      <c r="L12" s="30">
        <f>'FY 1 Best'!K7</f>
        <v>289087.9199999999</v>
      </c>
      <c r="M12" s="30">
        <f>'FY 1 Best'!L7</f>
        <v>332451.1079999999</v>
      </c>
      <c r="N12" s="30">
        <f>'FY 1 Best'!M7</f>
        <v>382318.77419999987</v>
      </c>
      <c r="O12" s="103">
        <f>SUM(C12:N12)</f>
        <v>1830230.6021999996</v>
      </c>
    </row>
    <row r="13" spans="1:15" ht="15.75" thickBot="1">
      <c r="A13" s="260" t="s">
        <v>196</v>
      </c>
      <c r="B13" s="261"/>
      <c r="C13" s="30">
        <f>SUM('FY 1 Best'!B9:B33)</f>
        <v>34667</v>
      </c>
      <c r="D13" s="30">
        <f>SUM('FY 1 Best'!C9:C33)</f>
        <v>46217</v>
      </c>
      <c r="E13" s="30">
        <f>SUM('FY 1 Best'!D9:D33)</f>
        <v>84892</v>
      </c>
      <c r="F13" s="30">
        <f>SUM('FY 1 Best'!E9:E33)</f>
        <v>103766.942</v>
      </c>
      <c r="G13" s="30">
        <f>SUM('FY 1 Best'!F9:F33)</f>
        <v>120506.942</v>
      </c>
      <c r="H13" s="30">
        <f>SUM('FY 1 Best'!G9:G33)</f>
        <v>153986.94199999998</v>
      </c>
      <c r="I13" s="30">
        <f>SUM('FY 1 Best'!H9:H33)</f>
        <v>229871.942</v>
      </c>
      <c r="J13" s="30">
        <f>SUM('FY 1 Best'!I9:I33)</f>
        <v>249959.942</v>
      </c>
      <c r="K13" s="30">
        <f>SUM('FY 1 Best'!J9:J33)</f>
        <v>281986.14199999993</v>
      </c>
      <c r="L13" s="30">
        <f>SUM('FY 1 Best'!K9:K33)</f>
        <v>308552.52199999994</v>
      </c>
      <c r="M13" s="30">
        <f>SUM('FY 1 Best'!L9:L33)</f>
        <v>539103.8589999999</v>
      </c>
      <c r="N13" s="30">
        <f>SUM('FY 1 Best'!M9:M33)</f>
        <v>405162.8965499999</v>
      </c>
      <c r="O13" s="105">
        <f>SUM(C13:N13)</f>
        <v>2558674.1295499997</v>
      </c>
    </row>
    <row r="14" spans="1:15" ht="15.75" thickBot="1">
      <c r="A14" s="253" t="s">
        <v>190</v>
      </c>
      <c r="B14" s="254"/>
      <c r="C14" s="106">
        <f>O5+C12-C13</f>
        <v>3470333</v>
      </c>
      <c r="D14" s="106">
        <f>C14+D12-D13</f>
        <v>3424116</v>
      </c>
      <c r="E14" s="106">
        <f aca="true" t="shared" si="1" ref="E14:N14">D14+E12-E13</f>
        <v>3339224</v>
      </c>
      <c r="F14" s="106">
        <f t="shared" si="1"/>
        <v>3259217.058</v>
      </c>
      <c r="G14" s="106">
        <f t="shared" si="1"/>
        <v>3186230.1160000004</v>
      </c>
      <c r="H14" s="106">
        <f t="shared" si="1"/>
        <v>3127283.1740000006</v>
      </c>
      <c r="I14" s="106">
        <f t="shared" si="1"/>
        <v>3087491.232000001</v>
      </c>
      <c r="J14" s="106">
        <f t="shared" si="1"/>
        <v>3056123.290000001</v>
      </c>
      <c r="K14" s="106">
        <f t="shared" si="1"/>
        <v>3025517.948000001</v>
      </c>
      <c r="L14" s="106">
        <f t="shared" si="1"/>
        <v>3006053.346000001</v>
      </c>
      <c r="M14" s="106">
        <f t="shared" si="1"/>
        <v>2799400.5950000007</v>
      </c>
      <c r="N14" s="106">
        <f t="shared" si="1"/>
        <v>2776556.472650001</v>
      </c>
      <c r="O14" s="107">
        <f>N14</f>
        <v>2776556.472650001</v>
      </c>
    </row>
    <row r="15" spans="1:15" ht="15">
      <c r="A15" s="108"/>
      <c r="B15" s="109"/>
      <c r="C15" s="110"/>
      <c r="D15" s="110"/>
      <c r="E15" s="110"/>
      <c r="F15" s="110"/>
      <c r="G15" s="110"/>
      <c r="H15" s="110"/>
      <c r="I15" s="110"/>
      <c r="J15" s="110"/>
      <c r="K15" s="110"/>
      <c r="L15" s="110"/>
      <c r="M15" s="110"/>
      <c r="N15" s="110"/>
      <c r="O15" s="111"/>
    </row>
    <row r="16" spans="1:15" ht="15">
      <c r="A16" s="108"/>
      <c r="B16" s="109"/>
      <c r="C16" s="110"/>
      <c r="D16" s="110"/>
      <c r="E16" s="110"/>
      <c r="F16" s="110"/>
      <c r="G16" s="110"/>
      <c r="H16" s="110"/>
      <c r="I16" s="110"/>
      <c r="J16" s="110"/>
      <c r="K16" s="110"/>
      <c r="L16" s="110"/>
      <c r="M16" s="110"/>
      <c r="N16" s="110"/>
      <c r="O16" s="111"/>
    </row>
    <row r="18" ht="15.75" thickBot="1"/>
    <row r="19" spans="3:15" ht="15.75" thickBot="1">
      <c r="C19" s="255" t="s">
        <v>205</v>
      </c>
      <c r="D19" s="256"/>
      <c r="E19" s="256"/>
      <c r="F19" s="256"/>
      <c r="G19" s="256"/>
      <c r="H19" s="256"/>
      <c r="I19" s="256"/>
      <c r="J19" s="256"/>
      <c r="K19" s="256"/>
      <c r="L19" s="256"/>
      <c r="M19" s="256"/>
      <c r="N19" s="256"/>
      <c r="O19" s="257"/>
    </row>
    <row r="20" spans="3:15" ht="15.75" thickBot="1">
      <c r="C20" s="210">
        <v>1</v>
      </c>
      <c r="D20" s="211">
        <v>2</v>
      </c>
      <c r="E20" s="211">
        <v>3</v>
      </c>
      <c r="F20" s="211">
        <v>4</v>
      </c>
      <c r="G20" s="211">
        <v>5</v>
      </c>
      <c r="H20" s="211">
        <v>6</v>
      </c>
      <c r="I20" s="211">
        <v>7</v>
      </c>
      <c r="J20" s="211">
        <v>8</v>
      </c>
      <c r="K20" s="211">
        <v>9</v>
      </c>
      <c r="L20" s="211">
        <v>10</v>
      </c>
      <c r="M20" s="211">
        <v>11</v>
      </c>
      <c r="N20" s="212">
        <v>12</v>
      </c>
      <c r="O20" s="213" t="s">
        <v>189</v>
      </c>
    </row>
    <row r="21" spans="1:15" ht="15.75" thickBot="1">
      <c r="A21" s="258" t="s">
        <v>195</v>
      </c>
      <c r="B21" s="259"/>
      <c r="C21" s="30">
        <f>'FY 2 Best'!B7</f>
        <v>420550.65161999996</v>
      </c>
      <c r="D21" s="30">
        <f>'FY 2 Best'!C7</f>
        <v>462605.716782</v>
      </c>
      <c r="E21" s="30">
        <f>'FY 2 Best'!D7</f>
        <v>508866.2884602</v>
      </c>
      <c r="F21" s="30">
        <f>'FY 2 Best'!E7</f>
        <v>559752.91730622</v>
      </c>
      <c r="G21" s="30">
        <f>'FY 2 Best'!F7</f>
        <v>615728.2090368421</v>
      </c>
      <c r="H21" s="30">
        <f>'FY 2 Best'!G7</f>
        <v>677301.0299405264</v>
      </c>
      <c r="I21" s="30">
        <f>'FY 2 Best'!H7</f>
        <v>745031.132934579</v>
      </c>
      <c r="J21" s="30">
        <f>'FY 2 Best'!I7</f>
        <v>819534.246228037</v>
      </c>
      <c r="K21" s="30">
        <f>'FY 2 Best'!J7</f>
        <v>901487.6708508407</v>
      </c>
      <c r="L21" s="30">
        <f>'FY 2 Best'!K7</f>
        <v>991636.4379359249</v>
      </c>
      <c r="M21" s="30">
        <f>'FY 2 Best'!L7</f>
        <v>1090800.0817295176</v>
      </c>
      <c r="N21" s="30">
        <f>'FY 2 Best'!M7</f>
        <v>1199880.0899024694</v>
      </c>
      <c r="O21" s="112">
        <f>SUM(C21:N21)</f>
        <v>8993174.472727157</v>
      </c>
    </row>
    <row r="22" spans="1:15" ht="15.75" thickBot="1">
      <c r="A22" s="260" t="s">
        <v>196</v>
      </c>
      <c r="B22" s="261"/>
      <c r="C22" s="30">
        <f>SUM('FY 2 Best'!B9:B33)</f>
        <v>445098.99200499995</v>
      </c>
      <c r="D22" s="30">
        <f>SUM('FY 2 Best'!C9:C33)</f>
        <v>474728.69700549997</v>
      </c>
      <c r="E22" s="30">
        <f>SUM('FY 2 Best'!D9:D33)</f>
        <v>511981.31450605</v>
      </c>
      <c r="F22" s="30">
        <f>SUM('FY 2 Best'!E9:E33)</f>
        <v>547833.2575566551</v>
      </c>
      <c r="G22" s="30">
        <f>SUM('FY 2 Best'!F9:F33)</f>
        <v>591795.3949123205</v>
      </c>
      <c r="H22" s="30">
        <f>SUM('FY 2 Best'!G9:G33)</f>
        <v>835176.2460035526</v>
      </c>
      <c r="I22" s="30">
        <f>SUM('FY 2 Best'!H9:H33)</f>
        <v>687420.1822039079</v>
      </c>
      <c r="J22" s="30">
        <f>SUM('FY 2 Best'!I9:I33)</f>
        <v>739911.0120242988</v>
      </c>
      <c r="K22" s="30">
        <f>SUM('FY 2 Best'!J9:J33)</f>
        <v>802175.9248267288</v>
      </c>
      <c r="L22" s="30">
        <f>SUM('FY 2 Best'!K9:K33)</f>
        <v>870349.7709094016</v>
      </c>
      <c r="M22" s="30">
        <f>SUM('FY 2 Best'!L9:L33)</f>
        <v>944740.0654003419</v>
      </c>
      <c r="N22" s="30">
        <f>SUM('FY 2 Best'!M9:M33)</f>
        <v>1226116.8893403758</v>
      </c>
      <c r="O22" s="105">
        <f>SUM(C22:N22)</f>
        <v>8677327.746694133</v>
      </c>
    </row>
    <row r="23" spans="1:15" ht="15.75" thickBot="1">
      <c r="A23" s="253" t="s">
        <v>190</v>
      </c>
      <c r="B23" s="254"/>
      <c r="C23" s="106">
        <f>O14+C21-C22</f>
        <v>2752008.132265001</v>
      </c>
      <c r="D23" s="106">
        <f>C23+D21-D22</f>
        <v>2739885.152041501</v>
      </c>
      <c r="E23" s="106">
        <f aca="true" t="shared" si="2" ref="E23:N23">D23+E21-E22</f>
        <v>2736770.125995651</v>
      </c>
      <c r="F23" s="106">
        <f t="shared" si="2"/>
        <v>2748689.785745216</v>
      </c>
      <c r="G23" s="106">
        <f t="shared" si="2"/>
        <v>2772622.5998697374</v>
      </c>
      <c r="H23" s="106">
        <f t="shared" si="2"/>
        <v>2614747.383806711</v>
      </c>
      <c r="I23" s="106">
        <f t="shared" si="2"/>
        <v>2672358.3345373822</v>
      </c>
      <c r="J23" s="106">
        <f t="shared" si="2"/>
        <v>2751981.5687411204</v>
      </c>
      <c r="K23" s="106">
        <f t="shared" si="2"/>
        <v>2851293.3147652326</v>
      </c>
      <c r="L23" s="106">
        <f t="shared" si="2"/>
        <v>2972579.981791756</v>
      </c>
      <c r="M23" s="106">
        <f t="shared" si="2"/>
        <v>3118639.9981209314</v>
      </c>
      <c r="N23" s="106">
        <f t="shared" si="2"/>
        <v>3092403.1986830253</v>
      </c>
      <c r="O23" s="107">
        <f>N23</f>
        <v>3092403.1986830253</v>
      </c>
    </row>
    <row r="27" ht="15.75" thickBot="1"/>
    <row r="28" spans="1:15" ht="15.75" thickBot="1">
      <c r="A28" s="102"/>
      <c r="C28" s="262" t="s">
        <v>191</v>
      </c>
      <c r="D28" s="263"/>
      <c r="E28" s="263"/>
      <c r="F28" s="263"/>
      <c r="G28" s="263"/>
      <c r="H28" s="263"/>
      <c r="I28" s="263"/>
      <c r="J28" s="263"/>
      <c r="K28" s="263"/>
      <c r="L28" s="263"/>
      <c r="M28" s="263"/>
      <c r="N28" s="263"/>
      <c r="O28" s="264"/>
    </row>
    <row r="29" spans="1:15" ht="15.75" thickBot="1">
      <c r="A29" s="265"/>
      <c r="B29" s="265"/>
      <c r="C29" s="210">
        <v>1</v>
      </c>
      <c r="D29" s="211">
        <v>2</v>
      </c>
      <c r="E29" s="211">
        <v>3</v>
      </c>
      <c r="F29" s="211">
        <v>4</v>
      </c>
      <c r="G29" s="211">
        <v>5</v>
      </c>
      <c r="H29" s="211">
        <v>6</v>
      </c>
      <c r="I29" s="211">
        <v>7</v>
      </c>
      <c r="J29" s="211">
        <v>8</v>
      </c>
      <c r="K29" s="211">
        <v>9</v>
      </c>
      <c r="L29" s="211">
        <v>10</v>
      </c>
      <c r="M29" s="211">
        <v>11</v>
      </c>
      <c r="N29" s="212">
        <v>12</v>
      </c>
      <c r="O29" s="213" t="s">
        <v>192</v>
      </c>
    </row>
    <row r="30" spans="1:15" ht="15.75" thickBot="1">
      <c r="A30" s="258" t="s">
        <v>195</v>
      </c>
      <c r="B30" s="259"/>
      <c r="C30" s="30">
        <f>'FY 3 Best'!B7</f>
        <v>1259874.0943975928</v>
      </c>
      <c r="D30" s="30">
        <f>'FY 3 Best'!C7</f>
        <v>1322867.7991174725</v>
      </c>
      <c r="E30" s="30">
        <f>'FY 3 Best'!D7</f>
        <v>1389011.1890733463</v>
      </c>
      <c r="F30" s="30">
        <f>'FY 3 Best'!E7</f>
        <v>1458461.7485270137</v>
      </c>
      <c r="G30" s="30">
        <f>'FY 3 Best'!F7</f>
        <v>1531384.8359533644</v>
      </c>
      <c r="H30" s="30">
        <f>'FY 3 Best'!G7</f>
        <v>1607954.0777510325</v>
      </c>
      <c r="I30" s="30">
        <f>'FY 3 Best'!H7</f>
        <v>1688351.781638584</v>
      </c>
      <c r="J30" s="30">
        <f>'FY 3 Best'!I7</f>
        <v>1772769.3707205134</v>
      </c>
      <c r="K30" s="30">
        <f>'FY 3 Best'!J7</f>
        <v>1861407.8392565395</v>
      </c>
      <c r="L30" s="30">
        <f>'FY 3 Best'!K7</f>
        <v>1954478.2312193664</v>
      </c>
      <c r="M30" s="30">
        <f>'FY 3 Best'!L7</f>
        <v>2052202.1427803347</v>
      </c>
      <c r="N30" s="30">
        <f>'FY 3 Best'!M7</f>
        <v>2154812.249919351</v>
      </c>
      <c r="O30" s="112">
        <f>SUM(C30:N30)</f>
        <v>20053575.36035451</v>
      </c>
    </row>
    <row r="31" spans="1:15" ht="15.75" thickBot="1">
      <c r="A31" s="260" t="s">
        <v>196</v>
      </c>
      <c r="B31" s="261"/>
      <c r="C31" s="30">
        <f>SUM('FY 3 Best'!B9:B33)</f>
        <v>1088385.3925073948</v>
      </c>
      <c r="D31" s="30">
        <f>SUM('FY 3 Best'!C9:C33)</f>
        <v>1137292.3208327645</v>
      </c>
      <c r="E31" s="30">
        <f>SUM('FY 3 Best'!D9:D33)</f>
        <v>1183893.345574403</v>
      </c>
      <c r="F31" s="30">
        <f>SUM('FY 3 Best'!E9:E33)</f>
        <v>1237484.363553123</v>
      </c>
      <c r="G31" s="30">
        <f>SUM('FY 3 Best'!F9:F33)</f>
        <v>1288861.9933307795</v>
      </c>
      <c r="H31" s="30">
        <f>SUM('FY 3 Best'!G9:G33)</f>
        <v>1547333.5045973181</v>
      </c>
      <c r="I31" s="30">
        <f>SUM('FY 3 Best'!H9:H33)</f>
        <v>1408502.3414271842</v>
      </c>
      <c r="J31" s="30">
        <f>SUM('FY 3 Best'!I9:I33)</f>
        <v>1472503.3700985436</v>
      </c>
      <c r="K31" s="30">
        <f>SUM('FY 3 Best'!J9:J33)</f>
        <v>1534953.200203471</v>
      </c>
      <c r="L31" s="30">
        <f>SUM('FY 3 Best'!K9:K33)</f>
        <v>1805185.4638136444</v>
      </c>
      <c r="M31" s="30">
        <f>SUM('FY 3 Best'!L9:L33)</f>
        <v>1678561.4015043266</v>
      </c>
      <c r="N31" s="30">
        <f>SUM('FY 3 Best'!M9:M33)</f>
        <v>1755379.8860795428</v>
      </c>
      <c r="O31" s="105">
        <f>SUM(C31:N31)</f>
        <v>17138336.5835225</v>
      </c>
    </row>
    <row r="32" spans="1:15" ht="15.75" thickBot="1">
      <c r="A32" s="253" t="s">
        <v>190</v>
      </c>
      <c r="B32" s="254"/>
      <c r="C32" s="106">
        <f>O23+C30-C31</f>
        <v>3263891.900573224</v>
      </c>
      <c r="D32" s="106">
        <f aca="true" t="shared" si="3" ref="D32:N32">C32+D30-D31</f>
        <v>3449467.378857931</v>
      </c>
      <c r="E32" s="106">
        <f t="shared" si="3"/>
        <v>3654585.2223568745</v>
      </c>
      <c r="F32" s="106">
        <f t="shared" si="3"/>
        <v>3875562.607330765</v>
      </c>
      <c r="G32" s="106">
        <f t="shared" si="3"/>
        <v>4118085.4499533502</v>
      </c>
      <c r="H32" s="106">
        <f t="shared" si="3"/>
        <v>4178706.023107064</v>
      </c>
      <c r="I32" s="106">
        <f t="shared" si="3"/>
        <v>4458555.463318463</v>
      </c>
      <c r="J32" s="106">
        <f t="shared" si="3"/>
        <v>4758821.463940433</v>
      </c>
      <c r="K32" s="106">
        <f t="shared" si="3"/>
        <v>5085276.102993501</v>
      </c>
      <c r="L32" s="106">
        <f t="shared" si="3"/>
        <v>5234568.870399224</v>
      </c>
      <c r="M32" s="106">
        <f t="shared" si="3"/>
        <v>5608209.611675232</v>
      </c>
      <c r="N32" s="106">
        <f t="shared" si="3"/>
        <v>6007641.97551504</v>
      </c>
      <c r="O32" s="107">
        <f>N32</f>
        <v>6007641.97551504</v>
      </c>
    </row>
    <row r="33" spans="1:15" ht="15">
      <c r="A33" s="108"/>
      <c r="B33" s="109"/>
      <c r="C33" s="110"/>
      <c r="D33" s="110"/>
      <c r="E33" s="110"/>
      <c r="F33" s="110"/>
      <c r="G33" s="110"/>
      <c r="H33" s="110"/>
      <c r="I33" s="110"/>
      <c r="J33" s="110"/>
      <c r="K33" s="110"/>
      <c r="L33" s="110"/>
      <c r="M33" s="110"/>
      <c r="N33" s="110"/>
      <c r="O33" s="111"/>
    </row>
    <row r="34" spans="1:15" ht="15">
      <c r="A34" s="108"/>
      <c r="B34" s="109"/>
      <c r="C34" s="110"/>
      <c r="D34" s="110"/>
      <c r="E34" s="110"/>
      <c r="F34" s="110"/>
      <c r="G34" s="110"/>
      <c r="H34" s="110"/>
      <c r="I34" s="110"/>
      <c r="J34" s="110"/>
      <c r="K34" s="110"/>
      <c r="L34" s="110"/>
      <c r="M34" s="110"/>
      <c r="N34" s="110"/>
      <c r="O34" s="111"/>
    </row>
    <row r="35" spans="1:15" ht="15">
      <c r="A35" s="108"/>
      <c r="B35" s="109"/>
      <c r="C35" s="110"/>
      <c r="D35" s="110"/>
      <c r="E35" s="110"/>
      <c r="F35" s="110"/>
      <c r="G35" s="110"/>
      <c r="H35" s="110"/>
      <c r="I35" s="110"/>
      <c r="J35" s="110"/>
      <c r="K35" s="110"/>
      <c r="L35" s="110"/>
      <c r="M35" s="110"/>
      <c r="N35" s="110"/>
      <c r="O35" s="111"/>
    </row>
    <row r="36" ht="15.75" thickBot="1"/>
    <row r="37" spans="3:15" ht="15.75" thickBot="1">
      <c r="C37" s="255" t="s">
        <v>206</v>
      </c>
      <c r="D37" s="256"/>
      <c r="E37" s="256"/>
      <c r="F37" s="256"/>
      <c r="G37" s="256"/>
      <c r="H37" s="256"/>
      <c r="I37" s="256"/>
      <c r="J37" s="256"/>
      <c r="K37" s="256"/>
      <c r="L37" s="256"/>
      <c r="M37" s="256"/>
      <c r="N37" s="256"/>
      <c r="O37" s="257"/>
    </row>
    <row r="38" spans="3:15" ht="15.75" thickBot="1">
      <c r="C38" s="210">
        <v>1</v>
      </c>
      <c r="D38" s="211">
        <v>2</v>
      </c>
      <c r="E38" s="211">
        <v>3</v>
      </c>
      <c r="F38" s="211">
        <v>4</v>
      </c>
      <c r="G38" s="211">
        <v>5</v>
      </c>
      <c r="H38" s="211">
        <v>6</v>
      </c>
      <c r="I38" s="211">
        <v>7</v>
      </c>
      <c r="J38" s="211">
        <v>8</v>
      </c>
      <c r="K38" s="211">
        <v>9</v>
      </c>
      <c r="L38" s="211">
        <v>10</v>
      </c>
      <c r="M38" s="211">
        <v>11</v>
      </c>
      <c r="N38" s="212">
        <v>12</v>
      </c>
      <c r="O38" s="213" t="s">
        <v>210</v>
      </c>
    </row>
    <row r="39" spans="1:15" ht="15.75" thickBot="1">
      <c r="A39" s="258" t="s">
        <v>195</v>
      </c>
      <c r="B39" s="259"/>
      <c r="C39" s="30">
        <f>'FY 4 Best'!B7</f>
        <v>2262552.8624153193</v>
      </c>
      <c r="D39" s="30">
        <f>'FY 4 Best'!C7</f>
        <v>2375680.5055360855</v>
      </c>
      <c r="E39" s="30">
        <f>'FY 4 Best'!D7</f>
        <v>2494464.53081289</v>
      </c>
      <c r="F39" s="30">
        <f>'FY 4 Best'!E7</f>
        <v>2619187.757353534</v>
      </c>
      <c r="G39" s="30">
        <f>'FY 4 Best'!F7</f>
        <v>2750147.145221211</v>
      </c>
      <c r="H39" s="30">
        <f>'FY 4 Best'!G7</f>
        <v>2887654.5024822718</v>
      </c>
      <c r="I39" s="30">
        <f>'FY 4 Best'!H7</f>
        <v>3032037.2276063855</v>
      </c>
      <c r="J39" s="30">
        <f>'FY 4 Best'!I7</f>
        <v>3183639.088986705</v>
      </c>
      <c r="K39" s="30">
        <f>'FY 4 Best'!J7</f>
        <v>3342821.04343604</v>
      </c>
      <c r="L39" s="30">
        <f>'FY 4 Best'!K7</f>
        <v>3509962.0956078423</v>
      </c>
      <c r="M39" s="30">
        <f>'FY 4 Best'!L7</f>
        <v>3685460.2003882346</v>
      </c>
      <c r="N39" s="30">
        <f>'FY 4 Best'!M7</f>
        <v>3869733.210407647</v>
      </c>
      <c r="O39" s="112">
        <f>SUM(C39:N39)</f>
        <v>36013340.17025416</v>
      </c>
    </row>
    <row r="40" spans="1:15" ht="15.75" thickBot="1">
      <c r="A40" s="260" t="s">
        <v>196</v>
      </c>
      <c r="B40" s="261"/>
      <c r="C40" s="30">
        <f>SUM('FY 4 Best'!B9:B33)</f>
        <v>1835538.4725541887</v>
      </c>
      <c r="D40" s="30">
        <f>SUM('FY 4 Best'!C9:C33)</f>
        <v>2115090.8054318978</v>
      </c>
      <c r="E40" s="30">
        <f>SUM('FY 4 Best'!D9:D33)</f>
        <v>2003004.590853493</v>
      </c>
      <c r="F40" s="30">
        <f>SUM('FY 4 Best'!E9:E33)</f>
        <v>2099612.815546168</v>
      </c>
      <c r="G40" s="30">
        <f>SUM('FY 4 Best'!F9:F33)</f>
        <v>2396073.951473476</v>
      </c>
      <c r="H40" s="30">
        <f>SUM('FY 4 Best'!G9:G33)</f>
        <v>2297266.336197151</v>
      </c>
      <c r="I40" s="30">
        <f>SUM('FY 4 Best'!H9:H33)</f>
        <v>2403150.926057008</v>
      </c>
      <c r="J40" s="30">
        <f>SUM('FY 4 Best'!I9:I33)</f>
        <v>2714103.495409859</v>
      </c>
      <c r="K40" s="30">
        <f>SUM('FY 4 Best'!J9:J33)</f>
        <v>2635036.8852303512</v>
      </c>
      <c r="L40" s="30">
        <f>SUM('FY 4 Best'!K9:K33)</f>
        <v>2756898.2804418695</v>
      </c>
      <c r="M40" s="30">
        <f>SUM('FY 4 Best'!L9:L33)</f>
        <v>2889151.4954139628</v>
      </c>
      <c r="N40" s="30">
        <f>SUM('FY 4 Best'!M9:M33)</f>
        <v>3223174.3131346614</v>
      </c>
      <c r="O40" s="105">
        <f>SUM(C40:N40)</f>
        <v>29368102.367744084</v>
      </c>
    </row>
    <row r="41" spans="1:15" ht="15.75" thickBot="1">
      <c r="A41" s="253" t="s">
        <v>190</v>
      </c>
      <c r="B41" s="254"/>
      <c r="C41" s="106">
        <f>O32+C39-C40</f>
        <v>6434656.365376171</v>
      </c>
      <c r="D41" s="106">
        <f aca="true" t="shared" si="4" ref="D41:N41">C41+D39-D40</f>
        <v>6695246.065480358</v>
      </c>
      <c r="E41" s="106">
        <f t="shared" si="4"/>
        <v>7186706.0054397555</v>
      </c>
      <c r="F41" s="106">
        <f t="shared" si="4"/>
        <v>7706280.9472471215</v>
      </c>
      <c r="G41" s="106">
        <f t="shared" si="4"/>
        <v>8060354.140994856</v>
      </c>
      <c r="H41" s="106">
        <f t="shared" si="4"/>
        <v>8650742.307279976</v>
      </c>
      <c r="I41" s="106">
        <f t="shared" si="4"/>
        <v>9279628.608829353</v>
      </c>
      <c r="J41" s="106">
        <f t="shared" si="4"/>
        <v>9749164.2024062</v>
      </c>
      <c r="K41" s="106">
        <f t="shared" si="4"/>
        <v>10456948.36061189</v>
      </c>
      <c r="L41" s="106">
        <f t="shared" si="4"/>
        <v>11210012.175777864</v>
      </c>
      <c r="M41" s="106">
        <f t="shared" si="4"/>
        <v>12006320.880752135</v>
      </c>
      <c r="N41" s="106">
        <f t="shared" si="4"/>
        <v>12652879.77802512</v>
      </c>
      <c r="O41" s="107">
        <f>N41</f>
        <v>12652879.77802512</v>
      </c>
    </row>
    <row r="42" spans="1:15" ht="15">
      <c r="A42" s="108"/>
      <c r="B42" s="109"/>
      <c r="C42" s="110"/>
      <c r="D42" s="110"/>
      <c r="E42" s="110"/>
      <c r="F42" s="110"/>
      <c r="G42" s="110"/>
      <c r="H42" s="110"/>
      <c r="I42" s="110"/>
      <c r="J42" s="110"/>
      <c r="K42" s="110"/>
      <c r="L42" s="110"/>
      <c r="M42" s="110"/>
      <c r="N42" s="110"/>
      <c r="O42" s="111"/>
    </row>
    <row r="43" spans="1:15" ht="15">
      <c r="A43" s="108"/>
      <c r="B43" s="109"/>
      <c r="C43" s="110"/>
      <c r="D43" s="110"/>
      <c r="E43" s="110"/>
      <c r="F43" s="110"/>
      <c r="G43" s="110"/>
      <c r="H43" s="110"/>
      <c r="I43" s="110"/>
      <c r="J43" s="110"/>
      <c r="K43" s="110"/>
      <c r="L43" s="110"/>
      <c r="M43" s="110"/>
      <c r="N43" s="110"/>
      <c r="O43" s="111"/>
    </row>
    <row r="45" ht="15.75" thickBot="1"/>
    <row r="46" spans="3:15" ht="15.75" thickBot="1">
      <c r="C46" s="255" t="s">
        <v>207</v>
      </c>
      <c r="D46" s="256"/>
      <c r="E46" s="256"/>
      <c r="F46" s="256"/>
      <c r="G46" s="256"/>
      <c r="H46" s="256"/>
      <c r="I46" s="256"/>
      <c r="J46" s="256"/>
      <c r="K46" s="256"/>
      <c r="L46" s="256"/>
      <c r="M46" s="256"/>
      <c r="N46" s="256"/>
      <c r="O46" s="257"/>
    </row>
    <row r="47" spans="3:15" ht="15.75" thickBot="1">
      <c r="C47" s="210">
        <v>1</v>
      </c>
      <c r="D47" s="211">
        <v>2</v>
      </c>
      <c r="E47" s="211">
        <v>3</v>
      </c>
      <c r="F47" s="211">
        <v>4</v>
      </c>
      <c r="G47" s="211">
        <v>5</v>
      </c>
      <c r="H47" s="211">
        <v>6</v>
      </c>
      <c r="I47" s="211">
        <v>7</v>
      </c>
      <c r="J47" s="211">
        <v>8</v>
      </c>
      <c r="K47" s="211">
        <v>9</v>
      </c>
      <c r="L47" s="211">
        <v>10</v>
      </c>
      <c r="M47" s="211">
        <v>11</v>
      </c>
      <c r="N47" s="212">
        <v>12</v>
      </c>
      <c r="O47" s="213" t="s">
        <v>211</v>
      </c>
    </row>
    <row r="48" spans="1:15" ht="15.75" thickBot="1">
      <c r="A48" s="258" t="s">
        <v>195</v>
      </c>
      <c r="B48" s="259"/>
      <c r="C48" s="30">
        <f>'FY 5 Best'!B7</f>
        <v>3985825.2067198763</v>
      </c>
      <c r="D48" s="30">
        <f>'FY 5 Best'!C7</f>
        <v>4105399.9629214727</v>
      </c>
      <c r="E48" s="30">
        <f>'FY 5 Best'!D7</f>
        <v>4228561.961809116</v>
      </c>
      <c r="F48" s="30">
        <f>'FY 5 Best'!E7</f>
        <v>4355418.820663391</v>
      </c>
      <c r="G48" s="30">
        <f>'FY 5 Best'!F7</f>
        <v>4486081.385283292</v>
      </c>
      <c r="H48" s="30">
        <f>'FY 5 Best'!G7</f>
        <v>4620663.826841791</v>
      </c>
      <c r="I48" s="30">
        <f>'FY 5 Best'!H7</f>
        <v>4759283.741647044</v>
      </c>
      <c r="J48" s="30">
        <f>'FY 5 Best'!I7</f>
        <v>4902062.253896456</v>
      </c>
      <c r="K48" s="30">
        <f>'FY 5 Best'!J7</f>
        <v>5049124.12151335</v>
      </c>
      <c r="L48" s="30">
        <f>'FY 5 Best'!K7</f>
        <v>5200597.845158751</v>
      </c>
      <c r="M48" s="30">
        <f>'FY 5 Best'!L7</f>
        <v>5356615.780513514</v>
      </c>
      <c r="N48" s="30">
        <f>'FY 5 Best'!M7</f>
        <v>5517314.253928919</v>
      </c>
      <c r="O48" s="112">
        <f>SUM(C48:N48)</f>
        <v>56566949.16089698</v>
      </c>
    </row>
    <row r="49" spans="1:15" ht="15.75" thickBot="1">
      <c r="A49" s="260" t="s">
        <v>196</v>
      </c>
      <c r="B49" s="261"/>
      <c r="C49" s="30">
        <f>SUM('FY 5 Best'!B9:B33)</f>
        <v>3109198.239838701</v>
      </c>
      <c r="D49" s="30">
        <f>SUM('FY 5 Best'!C9:C33)</f>
        <v>3197667.134343862</v>
      </c>
      <c r="E49" s="30">
        <f>SUM('FY 5 Best'!D9:D33)</f>
        <v>3488654.345684178</v>
      </c>
      <c r="F49" s="30">
        <f>SUM('FY 5 Best'!E9:E33)</f>
        <v>3382369.8653647033</v>
      </c>
      <c r="G49" s="30">
        <f>SUM('FY 5 Best'!F9:F33)</f>
        <v>3478622.6253756443</v>
      </c>
      <c r="H49" s="30">
        <f>SUM('FY 5 Best'!G9:G33)</f>
        <v>3577627.2181869135</v>
      </c>
      <c r="I49" s="30">
        <f>SUM('FY 5 Best'!H9:H33)</f>
        <v>3884125.6407825216</v>
      </c>
      <c r="J49" s="30">
        <f>SUM('FY 5 Best'!I9:I33)</f>
        <v>3788884.0407959973</v>
      </c>
      <c r="K49" s="30">
        <f>SUM('FY 5 Best'!J9:J33)</f>
        <v>3896649.4428098775</v>
      </c>
      <c r="L49" s="30">
        <f>SUM('FY 5 Best'!K9:K33)</f>
        <v>4007512.056884174</v>
      </c>
      <c r="M49" s="30">
        <f>SUM('FY 5 Best'!L9:L33)</f>
        <v>4126224.2413806994</v>
      </c>
      <c r="N49" s="30">
        <f>SUM('FY 5 Best'!M9:M33)</f>
        <v>4243562.816152121</v>
      </c>
      <c r="O49" s="105">
        <f>SUM(C49:N49)</f>
        <v>44181097.66759939</v>
      </c>
    </row>
    <row r="50" spans="1:15" ht="15.75" thickBot="1">
      <c r="A50" s="253" t="s">
        <v>190</v>
      </c>
      <c r="B50" s="254"/>
      <c r="C50" s="106">
        <f>O41+C48-C49</f>
        <v>13529506.744906295</v>
      </c>
      <c r="D50" s="106">
        <f aca="true" t="shared" si="5" ref="D50:N50">C50+D48-D49</f>
        <v>14437239.573483907</v>
      </c>
      <c r="E50" s="106">
        <f t="shared" si="5"/>
        <v>15177147.189608846</v>
      </c>
      <c r="F50" s="106">
        <f t="shared" si="5"/>
        <v>16150196.14490753</v>
      </c>
      <c r="G50" s="106">
        <f t="shared" si="5"/>
        <v>17157654.90481518</v>
      </c>
      <c r="H50" s="106">
        <f t="shared" si="5"/>
        <v>18200691.513470054</v>
      </c>
      <c r="I50" s="106">
        <f t="shared" si="5"/>
        <v>19075849.614334576</v>
      </c>
      <c r="J50" s="106">
        <f t="shared" si="5"/>
        <v>20189027.827435035</v>
      </c>
      <c r="K50" s="106">
        <f t="shared" si="5"/>
        <v>21341502.506138507</v>
      </c>
      <c r="L50" s="106">
        <f t="shared" si="5"/>
        <v>22534588.294413086</v>
      </c>
      <c r="M50" s="106">
        <f t="shared" si="5"/>
        <v>23764979.8335459</v>
      </c>
      <c r="N50" s="106">
        <f t="shared" si="5"/>
        <v>25038731.271322697</v>
      </c>
      <c r="O50" s="107">
        <f>N50</f>
        <v>25038731.271322697</v>
      </c>
    </row>
    <row r="53" spans="1:15" ht="15">
      <c r="A53" s="247" t="s">
        <v>297</v>
      </c>
      <c r="B53" s="247"/>
      <c r="C53" s="247"/>
      <c r="D53" s="247"/>
      <c r="E53" s="247"/>
      <c r="F53" s="247"/>
      <c r="G53" s="247"/>
      <c r="H53" s="247"/>
      <c r="I53" s="247"/>
      <c r="J53" s="247"/>
      <c r="K53" s="247"/>
      <c r="L53" s="247"/>
      <c r="M53" s="247"/>
      <c r="N53" s="247"/>
      <c r="O53" s="247"/>
    </row>
    <row r="54" spans="1:15" ht="15">
      <c r="A54" s="247"/>
      <c r="B54" s="247"/>
      <c r="C54" s="247"/>
      <c r="D54" s="247"/>
      <c r="E54" s="247"/>
      <c r="F54" s="247"/>
      <c r="G54" s="247"/>
      <c r="H54" s="247"/>
      <c r="I54" s="247"/>
      <c r="J54" s="247"/>
      <c r="K54" s="247"/>
      <c r="L54" s="247"/>
      <c r="M54" s="247"/>
      <c r="N54" s="247"/>
      <c r="O54" s="247"/>
    </row>
    <row r="55" spans="1:15" ht="15">
      <c r="A55" s="247"/>
      <c r="B55" s="247"/>
      <c r="C55" s="247"/>
      <c r="D55" s="247"/>
      <c r="E55" s="247"/>
      <c r="F55" s="247"/>
      <c r="G55" s="247"/>
      <c r="H55" s="247"/>
      <c r="I55" s="247"/>
      <c r="J55" s="247"/>
      <c r="K55" s="247"/>
      <c r="L55" s="247"/>
      <c r="M55" s="247"/>
      <c r="N55" s="247"/>
      <c r="O55" s="247"/>
    </row>
    <row r="56" spans="1:15" ht="15">
      <c r="A56" s="247"/>
      <c r="B56" s="247"/>
      <c r="C56" s="247"/>
      <c r="D56" s="247"/>
      <c r="E56" s="247"/>
      <c r="F56" s="247"/>
      <c r="G56" s="247"/>
      <c r="H56" s="247"/>
      <c r="I56" s="247"/>
      <c r="J56" s="247"/>
      <c r="K56" s="247"/>
      <c r="L56" s="247"/>
      <c r="M56" s="247"/>
      <c r="N56" s="247"/>
      <c r="O56" s="247"/>
    </row>
    <row r="57" spans="1:15" ht="15">
      <c r="A57" s="247"/>
      <c r="B57" s="247"/>
      <c r="C57" s="247"/>
      <c r="D57" s="247"/>
      <c r="E57" s="247"/>
      <c r="F57" s="247"/>
      <c r="G57" s="247"/>
      <c r="H57" s="247"/>
      <c r="I57" s="247"/>
      <c r="J57" s="247"/>
      <c r="K57" s="247"/>
      <c r="L57" s="247"/>
      <c r="M57" s="247"/>
      <c r="N57" s="247"/>
      <c r="O57" s="247"/>
    </row>
    <row r="59" spans="2:7" ht="15">
      <c r="B59" s="248" t="s">
        <v>288</v>
      </c>
      <c r="C59" s="248"/>
      <c r="D59" s="248"/>
      <c r="E59" s="248"/>
      <c r="F59" s="248"/>
      <c r="G59" s="248"/>
    </row>
  </sheetData>
  <sheetProtection password="DC55" sheet="1" objects="1" scenarios="1" formatCells="0" formatColumns="0" formatRows="0" insertColumns="0" insertRows="0" insertHyperlinks="0" deleteColumns="0" deleteRows="0" selectLockedCells="1" sort="0"/>
  <mergeCells count="28">
    <mergeCell ref="B59:G59"/>
    <mergeCell ref="A32:B32"/>
    <mergeCell ref="C37:O37"/>
    <mergeCell ref="A53:O57"/>
    <mergeCell ref="A50:B50"/>
    <mergeCell ref="A39:B39"/>
    <mergeCell ref="A40:B40"/>
    <mergeCell ref="A41:B41"/>
    <mergeCell ref="C46:O46"/>
    <mergeCell ref="A48:B48"/>
    <mergeCell ref="A49:B49"/>
    <mergeCell ref="C28:O28"/>
    <mergeCell ref="A29:B29"/>
    <mergeCell ref="A30:B30"/>
    <mergeCell ref="A31:B31"/>
    <mergeCell ref="A5:B5"/>
    <mergeCell ref="C10:O10"/>
    <mergeCell ref="A23:B23"/>
    <mergeCell ref="A12:B12"/>
    <mergeCell ref="A13:B13"/>
    <mergeCell ref="A14:B14"/>
    <mergeCell ref="C19:O19"/>
    <mergeCell ref="A21:B21"/>
    <mergeCell ref="A22:B22"/>
    <mergeCell ref="C1:O1"/>
    <mergeCell ref="A2:B2"/>
    <mergeCell ref="A3:B3"/>
    <mergeCell ref="A4:B4"/>
  </mergeCells>
  <printOptions horizontalCentered="1"/>
  <pageMargins left="0.7" right="0.7" top="0.75" bottom="0.75" header="0.3" footer="0.3"/>
  <pageSetup fitToHeight="1" fitToWidth="1" horizontalDpi="600" verticalDpi="600" orientation="landscape" scale="51" r:id="rId1"/>
  <headerFooter>
    <oddHeader>&amp;C&amp;"-,Bold"&amp;36&amp;UProject Victories Project Selection Tool</oddHeader>
    <oddFooter>&amp;CCopyright The Volpe Consortium, Inc.</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59"/>
  <sheetViews>
    <sheetView view="pageLayout" workbookViewId="0" topLeftCell="C1">
      <selection activeCell="C1" sqref="C1:O1"/>
    </sheetView>
  </sheetViews>
  <sheetFormatPr defaultColWidth="9.140625" defaultRowHeight="15"/>
  <cols>
    <col min="1" max="1" width="29.8515625" style="0" customWidth="1"/>
    <col min="2" max="2" width="11.00390625" style="0" customWidth="1"/>
    <col min="3" max="3" width="15.140625" style="0" customWidth="1"/>
    <col min="4" max="4" width="15.00390625" style="0" customWidth="1"/>
    <col min="5" max="5" width="14.8515625" style="0" customWidth="1"/>
    <col min="6" max="6" width="15.00390625" style="0" customWidth="1"/>
    <col min="7" max="7" width="14.8515625" style="0" customWidth="1"/>
    <col min="8" max="8" width="15.00390625" style="0" customWidth="1"/>
    <col min="9" max="9" width="15.140625" style="0" customWidth="1"/>
    <col min="10" max="10" width="14.8515625" style="0" customWidth="1"/>
    <col min="11" max="11" width="15.00390625" style="0" customWidth="1"/>
    <col min="12" max="12" width="14.8515625" style="0" customWidth="1"/>
    <col min="13" max="13" width="15.8515625" style="0" customWidth="1"/>
    <col min="14" max="14" width="15.140625" style="0" customWidth="1"/>
    <col min="15" max="15" width="15.28125" style="0" bestFit="1" customWidth="1"/>
  </cols>
  <sheetData>
    <row r="1" spans="1:15" ht="15.75" thickBot="1">
      <c r="A1" s="102"/>
      <c r="C1" s="262" t="s">
        <v>197</v>
      </c>
      <c r="D1" s="263"/>
      <c r="E1" s="263"/>
      <c r="F1" s="263"/>
      <c r="G1" s="263"/>
      <c r="H1" s="263"/>
      <c r="I1" s="263"/>
      <c r="J1" s="263"/>
      <c r="K1" s="263"/>
      <c r="L1" s="263"/>
      <c r="M1" s="263"/>
      <c r="N1" s="263"/>
      <c r="O1" s="264"/>
    </row>
    <row r="2" spans="1:15" ht="15.75" thickBot="1">
      <c r="A2" s="265"/>
      <c r="B2" s="265"/>
      <c r="C2" s="210">
        <v>1</v>
      </c>
      <c r="D2" s="211">
        <v>2</v>
      </c>
      <c r="E2" s="211">
        <v>3</v>
      </c>
      <c r="F2" s="211">
        <v>4</v>
      </c>
      <c r="G2" s="211">
        <v>5</v>
      </c>
      <c r="H2" s="211">
        <v>6</v>
      </c>
      <c r="I2" s="211">
        <v>7</v>
      </c>
      <c r="J2" s="211">
        <v>8</v>
      </c>
      <c r="K2" s="211">
        <v>9</v>
      </c>
      <c r="L2" s="211">
        <v>10</v>
      </c>
      <c r="M2" s="211">
        <v>11</v>
      </c>
      <c r="N2" s="212">
        <v>12</v>
      </c>
      <c r="O2" s="213" t="s">
        <v>209</v>
      </c>
    </row>
    <row r="3" spans="1:16" ht="15.75" thickBot="1">
      <c r="A3" s="258" t="s">
        <v>195</v>
      </c>
      <c r="B3" s="259"/>
      <c r="C3" s="30">
        <f>'FY 0 Most Likely'!B7</f>
        <v>0</v>
      </c>
      <c r="D3" s="30">
        <f>'FY 0 Most Likely'!C7</f>
        <v>0</v>
      </c>
      <c r="E3" s="30">
        <f>'FY 0 Most Likely'!D7</f>
        <v>0</v>
      </c>
      <c r="F3" s="30">
        <f>'FY 0 Most Likely'!E7</f>
        <v>0</v>
      </c>
      <c r="G3" s="30">
        <f>'FY 0 Most Likely'!F7</f>
        <v>0</v>
      </c>
      <c r="H3" s="30">
        <f>'FY 0 Most Likely'!G7</f>
        <v>0</v>
      </c>
      <c r="I3" s="30">
        <f>'FY 0 Most Likely'!H7</f>
        <v>0</v>
      </c>
      <c r="J3" s="30">
        <f>'FY 0 Most Likely'!I7</f>
        <v>0</v>
      </c>
      <c r="K3" s="30">
        <f>'FY 0 Most Likely'!J7</f>
        <v>0</v>
      </c>
      <c r="L3" s="30">
        <f>'FY 0 Most Likely'!K7</f>
        <v>0</v>
      </c>
      <c r="M3" s="30">
        <f>'FY 0 Most Likely'!L7</f>
        <v>0</v>
      </c>
      <c r="N3" s="30">
        <f>'FY 0 Most Likely'!M7</f>
        <v>0</v>
      </c>
      <c r="O3" s="103">
        <f>SUM(C3:N3)</f>
        <v>0</v>
      </c>
      <c r="P3" s="104"/>
    </row>
    <row r="4" spans="1:15" ht="15.75" thickBot="1">
      <c r="A4" s="260" t="s">
        <v>196</v>
      </c>
      <c r="B4" s="261"/>
      <c r="C4" s="30">
        <f>SUM('FY 0 Most Likely'!B9:B33)</f>
        <v>47500</v>
      </c>
      <c r="D4" s="30">
        <f>SUM('FY 0 Most Likely'!C9:C33)</f>
        <v>22500</v>
      </c>
      <c r="E4" s="30">
        <f>SUM('FY 0 Most Likely'!D9:D33)</f>
        <v>22500</v>
      </c>
      <c r="F4" s="30">
        <f>SUM('FY 0 Most Likely'!E9:E33)</f>
        <v>22500</v>
      </c>
      <c r="G4" s="30">
        <f>SUM('FY 0 Most Likely'!F9:F33)</f>
        <v>22500</v>
      </c>
      <c r="H4" s="30">
        <f>SUM('FY 0 Most Likely'!G9:G33)</f>
        <v>22500</v>
      </c>
      <c r="I4" s="30">
        <f>SUM('FY 0 Most Likely'!H9:H33)</f>
        <v>22500</v>
      </c>
      <c r="J4" s="30">
        <f>SUM('FY 0 Most Likely'!I9:I33)</f>
        <v>22500</v>
      </c>
      <c r="K4" s="30">
        <f>SUM('FY 0 Most Likely'!J9:J33)</f>
        <v>22500</v>
      </c>
      <c r="L4" s="30">
        <f>SUM('FY 0 Most Likely'!K9:K33)</f>
        <v>22500</v>
      </c>
      <c r="M4" s="30">
        <f>SUM('FY 0 Most Likely'!L9:L33)</f>
        <v>22500</v>
      </c>
      <c r="N4" s="30">
        <f>SUM('FY 0 Most Likely'!M9:M33)</f>
        <v>22500</v>
      </c>
      <c r="O4" s="105">
        <f>SUM(C4:N4)</f>
        <v>295000</v>
      </c>
    </row>
    <row r="5" spans="1:15" ht="15.75" thickBot="1">
      <c r="A5" s="253" t="s">
        <v>212</v>
      </c>
      <c r="B5" s="254"/>
      <c r="C5" s="214">
        <f>4000000+C3-C4</f>
        <v>3952500</v>
      </c>
      <c r="D5" s="106">
        <f>C5+D3-D4</f>
        <v>3930000</v>
      </c>
      <c r="E5" s="106">
        <f aca="true" t="shared" si="0" ref="E5:N5">D5+E3-E4</f>
        <v>3907500</v>
      </c>
      <c r="F5" s="106">
        <f t="shared" si="0"/>
        <v>3885000</v>
      </c>
      <c r="G5" s="106">
        <f t="shared" si="0"/>
        <v>3862500</v>
      </c>
      <c r="H5" s="106">
        <f t="shared" si="0"/>
        <v>3840000</v>
      </c>
      <c r="I5" s="106">
        <f t="shared" si="0"/>
        <v>3817500</v>
      </c>
      <c r="J5" s="106">
        <f t="shared" si="0"/>
        <v>3795000</v>
      </c>
      <c r="K5" s="106">
        <f t="shared" si="0"/>
        <v>3772500</v>
      </c>
      <c r="L5" s="106">
        <f t="shared" si="0"/>
        <v>3750000</v>
      </c>
      <c r="M5" s="106">
        <f t="shared" si="0"/>
        <v>3727500</v>
      </c>
      <c r="N5" s="106">
        <f t="shared" si="0"/>
        <v>3705000</v>
      </c>
      <c r="O5" s="107">
        <f>N5</f>
        <v>3705000</v>
      </c>
    </row>
    <row r="6" spans="1:15" ht="15">
      <c r="A6" s="108"/>
      <c r="B6" s="109"/>
      <c r="C6" s="110"/>
      <c r="D6" s="110"/>
      <c r="E6" s="110"/>
      <c r="F6" s="110"/>
      <c r="G6" s="110"/>
      <c r="H6" s="110"/>
      <c r="I6" s="110"/>
      <c r="J6" s="110"/>
      <c r="K6" s="110"/>
      <c r="L6" s="110"/>
      <c r="M6" s="110"/>
      <c r="N6" s="110"/>
      <c r="O6" s="111"/>
    </row>
    <row r="7" spans="1:15" ht="15">
      <c r="A7" s="108"/>
      <c r="B7" s="109"/>
      <c r="C7" s="110"/>
      <c r="D7" s="110"/>
      <c r="E7" s="110"/>
      <c r="F7" s="110"/>
      <c r="G7" s="110"/>
      <c r="H7" s="110"/>
      <c r="I7" s="110"/>
      <c r="J7" s="110"/>
      <c r="K7" s="110"/>
      <c r="L7" s="110"/>
      <c r="M7" s="110"/>
      <c r="N7" s="110"/>
      <c r="O7" s="111"/>
    </row>
    <row r="8" spans="1:15" ht="15">
      <c r="A8" s="108"/>
      <c r="B8" s="109"/>
      <c r="C8" s="110"/>
      <c r="D8" s="110"/>
      <c r="E8" s="110"/>
      <c r="F8" s="110"/>
      <c r="G8" s="110"/>
      <c r="H8" s="110"/>
      <c r="I8" s="110"/>
      <c r="J8" s="110"/>
      <c r="K8" s="110"/>
      <c r="L8" s="110"/>
      <c r="M8" s="110"/>
      <c r="N8" s="110"/>
      <c r="O8" s="111"/>
    </row>
    <row r="9" ht="15.75" thickBot="1"/>
    <row r="10" spans="3:15" ht="15.75" thickBot="1">
      <c r="C10" s="255" t="s">
        <v>187</v>
      </c>
      <c r="D10" s="256"/>
      <c r="E10" s="256"/>
      <c r="F10" s="256"/>
      <c r="G10" s="256"/>
      <c r="H10" s="256"/>
      <c r="I10" s="256"/>
      <c r="J10" s="256"/>
      <c r="K10" s="256"/>
      <c r="L10" s="256"/>
      <c r="M10" s="256"/>
      <c r="N10" s="256"/>
      <c r="O10" s="257"/>
    </row>
    <row r="11" spans="3:15" ht="15.75" thickBot="1">
      <c r="C11" s="210">
        <v>1</v>
      </c>
      <c r="D11" s="211">
        <v>2</v>
      </c>
      <c r="E11" s="211">
        <v>3</v>
      </c>
      <c r="F11" s="211">
        <v>4</v>
      </c>
      <c r="G11" s="211">
        <v>5</v>
      </c>
      <c r="H11" s="211">
        <v>6</v>
      </c>
      <c r="I11" s="211">
        <v>7</v>
      </c>
      <c r="J11" s="211">
        <v>8</v>
      </c>
      <c r="K11" s="211">
        <v>9</v>
      </c>
      <c r="L11" s="211">
        <v>10</v>
      </c>
      <c r="M11" s="211">
        <v>11</v>
      </c>
      <c r="N11" s="212">
        <v>12</v>
      </c>
      <c r="O11" s="213" t="s">
        <v>188</v>
      </c>
    </row>
    <row r="12" spans="1:15" ht="15.75" thickBot="1">
      <c r="A12" s="258" t="s">
        <v>195</v>
      </c>
      <c r="B12" s="259"/>
      <c r="C12" s="30">
        <f>'FY 1 Most Likely'!B7</f>
        <v>0</v>
      </c>
      <c r="D12" s="30">
        <f>'FY 1 Most Likely'!C7</f>
        <v>0</v>
      </c>
      <c r="E12" s="30">
        <f>'FY 1 Most Likely'!D7</f>
        <v>0</v>
      </c>
      <c r="F12" s="30">
        <f>'FY 1 Most Likely'!E7</f>
        <v>0</v>
      </c>
      <c r="G12" s="30">
        <f>'FY 1 Most Likely'!F7</f>
        <v>0</v>
      </c>
      <c r="H12" s="30">
        <f>'FY 1 Most Likely'!G7</f>
        <v>19800</v>
      </c>
      <c r="I12" s="30">
        <f>'FY 1 Most Likely'!H7</f>
        <v>39600</v>
      </c>
      <c r="J12" s="30">
        <f>'FY 1 Most Likely'!I7</f>
        <v>79200</v>
      </c>
      <c r="K12" s="30">
        <f>'FY 1 Most Likely'!J7</f>
        <v>158400</v>
      </c>
      <c r="L12" s="30">
        <f>'FY 1 Most Likely'!K7</f>
        <v>182159.99999999997</v>
      </c>
      <c r="M12" s="30">
        <f>'FY 1 Most Likely'!L7</f>
        <v>209483.99999999994</v>
      </c>
      <c r="N12" s="30">
        <f>'FY 1 Most Likely'!M7</f>
        <v>240906.59999999992</v>
      </c>
      <c r="O12" s="103">
        <f>SUM(C12:N12)</f>
        <v>929550.5999999999</v>
      </c>
    </row>
    <row r="13" spans="1:15" ht="15.75" thickBot="1">
      <c r="A13" s="260" t="s">
        <v>196</v>
      </c>
      <c r="B13" s="261"/>
      <c r="C13" s="30">
        <f>SUM('FY 1 Most Likely'!B9:B33)</f>
        <v>24667</v>
      </c>
      <c r="D13" s="30">
        <f>SUM('FY 1 Most Likely'!C9:C33)</f>
        <v>224667</v>
      </c>
      <c r="E13" s="30">
        <f>SUM('FY 1 Most Likely'!D9:D33)</f>
        <v>34667</v>
      </c>
      <c r="F13" s="30">
        <f>SUM('FY 1 Most Likely'!E9:E33)</f>
        <v>46217</v>
      </c>
      <c r="G13" s="30">
        <f>SUM('FY 1 Most Likely'!F9:F33)</f>
        <v>84892</v>
      </c>
      <c r="H13" s="30">
        <f>SUM('FY 1 Most Likely'!G9:G33)</f>
        <v>100976.942</v>
      </c>
      <c r="I13" s="30">
        <f>SUM('FY 1 Most Likely'!H9:H33)</f>
        <v>114926.942</v>
      </c>
      <c r="J13" s="30">
        <f>SUM('FY 1 Most Likely'!I9:I33)</f>
        <v>142826.94199999998</v>
      </c>
      <c r="K13" s="30">
        <f>SUM('FY 1 Most Likely'!J9:J33)</f>
        <v>207551.942</v>
      </c>
      <c r="L13" s="30">
        <f>SUM('FY 1 Most Likely'!K9:K33)</f>
        <v>224291.942</v>
      </c>
      <c r="M13" s="30">
        <f>SUM('FY 1 Most Likely'!L9:L33)</f>
        <v>243542.94199999998</v>
      </c>
      <c r="N13" s="30">
        <f>SUM('FY 1 Most Likely'!M9:M33)</f>
        <v>274606.59199999995</v>
      </c>
      <c r="O13" s="105">
        <f>SUM(C13:N13)</f>
        <v>1723834.244</v>
      </c>
    </row>
    <row r="14" spans="1:15" ht="15.75" thickBot="1">
      <c r="A14" s="253" t="s">
        <v>190</v>
      </c>
      <c r="B14" s="254"/>
      <c r="C14" s="106">
        <f>O5+C12-C13</f>
        <v>3680333</v>
      </c>
      <c r="D14" s="106">
        <f>C14+D12-D13</f>
        <v>3455666</v>
      </c>
      <c r="E14" s="106">
        <f aca="true" t="shared" si="1" ref="E14:N14">D14+E12-E13</f>
        <v>3420999</v>
      </c>
      <c r="F14" s="106">
        <f t="shared" si="1"/>
        <v>3374782</v>
      </c>
      <c r="G14" s="106">
        <f t="shared" si="1"/>
        <v>3289890</v>
      </c>
      <c r="H14" s="106">
        <f t="shared" si="1"/>
        <v>3208713.058</v>
      </c>
      <c r="I14" s="106">
        <f t="shared" si="1"/>
        <v>3133386.1160000004</v>
      </c>
      <c r="J14" s="106">
        <f t="shared" si="1"/>
        <v>3069759.1740000006</v>
      </c>
      <c r="K14" s="106">
        <f t="shared" si="1"/>
        <v>3020607.232000001</v>
      </c>
      <c r="L14" s="106">
        <f t="shared" si="1"/>
        <v>2978475.290000001</v>
      </c>
      <c r="M14" s="106">
        <f t="shared" si="1"/>
        <v>2944416.348000001</v>
      </c>
      <c r="N14" s="106">
        <f t="shared" si="1"/>
        <v>2910716.3560000015</v>
      </c>
      <c r="O14" s="107">
        <f>N14</f>
        <v>2910716.3560000015</v>
      </c>
    </row>
    <row r="15" spans="1:15" ht="15">
      <c r="A15" s="108"/>
      <c r="B15" s="109"/>
      <c r="C15" s="110"/>
      <c r="D15" s="110"/>
      <c r="E15" s="110"/>
      <c r="F15" s="110"/>
      <c r="G15" s="110"/>
      <c r="H15" s="110"/>
      <c r="I15" s="110"/>
      <c r="J15" s="110"/>
      <c r="K15" s="110"/>
      <c r="L15" s="110"/>
      <c r="M15" s="110"/>
      <c r="N15" s="110"/>
      <c r="O15" s="111"/>
    </row>
    <row r="16" spans="1:15" ht="15">
      <c r="A16" s="108"/>
      <c r="B16" s="109"/>
      <c r="C16" s="110"/>
      <c r="D16" s="110"/>
      <c r="E16" s="110"/>
      <c r="F16" s="110"/>
      <c r="G16" s="110"/>
      <c r="H16" s="110"/>
      <c r="I16" s="110"/>
      <c r="J16" s="110"/>
      <c r="K16" s="110"/>
      <c r="L16" s="110"/>
      <c r="M16" s="110"/>
      <c r="N16" s="110"/>
      <c r="O16" s="111"/>
    </row>
    <row r="18" ht="15.75" thickBot="1"/>
    <row r="19" spans="3:15" ht="15.75" thickBot="1">
      <c r="C19" s="255" t="s">
        <v>205</v>
      </c>
      <c r="D19" s="256"/>
      <c r="E19" s="256"/>
      <c r="F19" s="256"/>
      <c r="G19" s="256"/>
      <c r="H19" s="256"/>
      <c r="I19" s="256"/>
      <c r="J19" s="256"/>
      <c r="K19" s="256"/>
      <c r="L19" s="256"/>
      <c r="M19" s="256"/>
      <c r="N19" s="256"/>
      <c r="O19" s="257"/>
    </row>
    <row r="20" spans="3:15" ht="15.75" thickBot="1">
      <c r="C20" s="210">
        <v>1</v>
      </c>
      <c r="D20" s="211">
        <v>2</v>
      </c>
      <c r="E20" s="211">
        <v>3</v>
      </c>
      <c r="F20" s="211">
        <v>4</v>
      </c>
      <c r="G20" s="211">
        <v>5</v>
      </c>
      <c r="H20" s="211">
        <v>6</v>
      </c>
      <c r="I20" s="211">
        <v>7</v>
      </c>
      <c r="J20" s="211">
        <v>8</v>
      </c>
      <c r="K20" s="211">
        <v>9</v>
      </c>
      <c r="L20" s="211">
        <v>10</v>
      </c>
      <c r="M20" s="211">
        <v>11</v>
      </c>
      <c r="N20" s="212">
        <v>12</v>
      </c>
      <c r="O20" s="213" t="s">
        <v>189</v>
      </c>
    </row>
    <row r="21" spans="1:15" ht="15.75" thickBot="1">
      <c r="A21" s="258" t="s">
        <v>195</v>
      </c>
      <c r="B21" s="259"/>
      <c r="C21" s="30">
        <f>'FY 2 Most Likely'!B7</f>
        <v>264997.25999999995</v>
      </c>
      <c r="D21" s="30">
        <f>'FY 2 Most Likely'!C7</f>
        <v>291496.9859999999</v>
      </c>
      <c r="E21" s="30">
        <f>'FY 2 Most Likely'!D7</f>
        <v>320646.6845999999</v>
      </c>
      <c r="F21" s="30">
        <f>'FY 2 Most Likely'!E7</f>
        <v>352711.35306</v>
      </c>
      <c r="G21" s="30">
        <f>'FY 2 Most Likely'!F7</f>
        <v>387982.488366</v>
      </c>
      <c r="H21" s="30">
        <f>'FY 2 Most Likely'!G7</f>
        <v>426780.73720260005</v>
      </c>
      <c r="I21" s="30">
        <f>'FY 2 Most Likely'!H7</f>
        <v>469458.8109228601</v>
      </c>
      <c r="J21" s="30">
        <f>'FY 2 Most Likely'!I7</f>
        <v>516404.69201514614</v>
      </c>
      <c r="K21" s="30">
        <f>'FY 2 Most Likely'!J7</f>
        <v>568045.1612166608</v>
      </c>
      <c r="L21" s="30">
        <f>'FY 2 Most Likely'!K7</f>
        <v>624849.6773383269</v>
      </c>
      <c r="M21" s="30">
        <f>'FY 2 Most Likely'!L7</f>
        <v>687334.6450721597</v>
      </c>
      <c r="N21" s="30">
        <f>'FY 2 Most Likely'!M7</f>
        <v>756068.1095793757</v>
      </c>
      <c r="O21" s="112">
        <f>SUM(C21:N21)</f>
        <v>5666776.605373129</v>
      </c>
    </row>
    <row r="22" spans="1:15" ht="15.75" thickBot="1">
      <c r="A22" s="260" t="s">
        <v>196</v>
      </c>
      <c r="B22" s="261"/>
      <c r="C22" s="30">
        <f>SUM('FY 2 Most Likely'!B9:B33)</f>
        <v>304579.5569999999</v>
      </c>
      <c r="D22" s="30">
        <f>SUM('FY 2 Most Likely'!C9:C33)</f>
        <v>323249.8185</v>
      </c>
      <c r="E22" s="30">
        <f>SUM('FY 2 Most Likely'!D9:D33)</f>
        <v>343787.10614999995</v>
      </c>
      <c r="F22" s="30">
        <f>SUM('FY 2 Most Likely'!E9:E33)</f>
        <v>566378.122565</v>
      </c>
      <c r="G22" s="30">
        <f>SUM('FY 2 Most Likely'!F9:F33)</f>
        <v>422153.2406215</v>
      </c>
      <c r="H22" s="30">
        <f>SUM('FY 2 Most Likely'!G9:G33)</f>
        <v>449488.37048365</v>
      </c>
      <c r="I22" s="30">
        <f>SUM('FY 2 Most Likely'!H9:H33)</f>
        <v>479557.013332015</v>
      </c>
      <c r="J22" s="30">
        <f>SUM('FY 2 Most Likely'!I9:I33)</f>
        <v>517292.4624652166</v>
      </c>
      <c r="K22" s="30">
        <f>SUM('FY 2 Most Likely'!J9:J33)</f>
        <v>553675.5203117384</v>
      </c>
      <c r="L22" s="30">
        <f>SUM('FY 2 Most Likely'!K9:K33)</f>
        <v>598221.8839429121</v>
      </c>
      <c r="M22" s="30">
        <f>SUM('FY 2 Most Likely'!L9:L33)</f>
        <v>642245.3839372033</v>
      </c>
      <c r="N22" s="30">
        <f>SUM('FY 2 Most Likely'!M9:M33)</f>
        <v>695196.2339309237</v>
      </c>
      <c r="O22" s="105">
        <f>SUM(C22:N22)</f>
        <v>5895824.713240159</v>
      </c>
    </row>
    <row r="23" spans="1:15" ht="15.75" thickBot="1">
      <c r="A23" s="253" t="s">
        <v>190</v>
      </c>
      <c r="B23" s="254"/>
      <c r="C23" s="106">
        <f>O14+C21-C22</f>
        <v>2871134.0590000013</v>
      </c>
      <c r="D23" s="106">
        <f>C23+D21-D22</f>
        <v>2839381.2265000013</v>
      </c>
      <c r="E23" s="106">
        <f aca="true" t="shared" si="2" ref="E23:N23">D23+E21-E22</f>
        <v>2816240.804950001</v>
      </c>
      <c r="F23" s="106">
        <f t="shared" si="2"/>
        <v>2602574.0354450014</v>
      </c>
      <c r="G23" s="106">
        <f t="shared" si="2"/>
        <v>2568403.283189501</v>
      </c>
      <c r="H23" s="106">
        <f t="shared" si="2"/>
        <v>2545695.6499084514</v>
      </c>
      <c r="I23" s="106">
        <f t="shared" si="2"/>
        <v>2535597.4474992966</v>
      </c>
      <c r="J23" s="106">
        <f t="shared" si="2"/>
        <v>2534709.677049226</v>
      </c>
      <c r="K23" s="106">
        <f t="shared" si="2"/>
        <v>2549079.3179541486</v>
      </c>
      <c r="L23" s="106">
        <f t="shared" si="2"/>
        <v>2575707.111349563</v>
      </c>
      <c r="M23" s="106">
        <f t="shared" si="2"/>
        <v>2620796.3724845196</v>
      </c>
      <c r="N23" s="106">
        <f t="shared" si="2"/>
        <v>2681668.248132971</v>
      </c>
      <c r="O23" s="107">
        <f>N23</f>
        <v>2681668.248132971</v>
      </c>
    </row>
    <row r="27" ht="15.75" thickBot="1"/>
    <row r="28" spans="1:15" ht="15.75" thickBot="1">
      <c r="A28" s="102"/>
      <c r="C28" s="262" t="s">
        <v>191</v>
      </c>
      <c r="D28" s="263"/>
      <c r="E28" s="263"/>
      <c r="F28" s="263"/>
      <c r="G28" s="263"/>
      <c r="H28" s="263"/>
      <c r="I28" s="263"/>
      <c r="J28" s="263"/>
      <c r="K28" s="263"/>
      <c r="L28" s="263"/>
      <c r="M28" s="263"/>
      <c r="N28" s="263"/>
      <c r="O28" s="264"/>
    </row>
    <row r="29" spans="1:15" ht="15.75" thickBot="1">
      <c r="A29" s="265"/>
      <c r="B29" s="265"/>
      <c r="C29" s="210">
        <v>1</v>
      </c>
      <c r="D29" s="211">
        <v>2</v>
      </c>
      <c r="E29" s="211">
        <v>3</v>
      </c>
      <c r="F29" s="211">
        <v>4</v>
      </c>
      <c r="G29" s="211">
        <v>5</v>
      </c>
      <c r="H29" s="211">
        <v>6</v>
      </c>
      <c r="I29" s="211">
        <v>7</v>
      </c>
      <c r="J29" s="211">
        <v>8</v>
      </c>
      <c r="K29" s="211">
        <v>9</v>
      </c>
      <c r="L29" s="211">
        <v>10</v>
      </c>
      <c r="M29" s="211">
        <v>11</v>
      </c>
      <c r="N29" s="212">
        <v>12</v>
      </c>
      <c r="O29" s="213" t="s">
        <v>192</v>
      </c>
    </row>
    <row r="30" spans="1:15" ht="15.75" thickBot="1">
      <c r="A30" s="258" t="s">
        <v>195</v>
      </c>
      <c r="B30" s="259"/>
      <c r="C30" s="30">
        <f>'FY 3 Most Likely'!B7</f>
        <v>793871.5150583445</v>
      </c>
      <c r="D30" s="30">
        <f>'FY 3 Most Likely'!C7</f>
        <v>833565.0908112618</v>
      </c>
      <c r="E30" s="30">
        <f>'FY 3 Most Likely'!D7</f>
        <v>875243.3453518249</v>
      </c>
      <c r="F30" s="30">
        <f>'FY 3 Most Likely'!E7</f>
        <v>919005.5126194161</v>
      </c>
      <c r="G30" s="30">
        <f>'FY 3 Most Likely'!F7</f>
        <v>964955.7882503871</v>
      </c>
      <c r="H30" s="30">
        <f>'FY 3 Most Likely'!G7</f>
        <v>1013203.5776629065</v>
      </c>
      <c r="I30" s="30">
        <f>'FY 3 Most Likely'!H7</f>
        <v>1063863.756546052</v>
      </c>
      <c r="J30" s="30">
        <f>'FY 3 Most Likely'!I7</f>
        <v>1117056.9443733545</v>
      </c>
      <c r="K30" s="30">
        <f>'FY 3 Most Likely'!J7</f>
        <v>1172909.7915920222</v>
      </c>
      <c r="L30" s="30">
        <f>'FY 3 Most Likely'!K7</f>
        <v>1231555.2811716234</v>
      </c>
      <c r="M30" s="30">
        <f>'FY 3 Most Likely'!L7</f>
        <v>1293133.0452302045</v>
      </c>
      <c r="N30" s="30">
        <f>'FY 3 Most Likely'!M7</f>
        <v>1357789.6974917147</v>
      </c>
      <c r="O30" s="112">
        <f>SUM(C30:N30)</f>
        <v>12636153.346159112</v>
      </c>
    </row>
    <row r="31" spans="1:15" ht="15.75" thickBot="1">
      <c r="A31" s="260" t="s">
        <v>196</v>
      </c>
      <c r="B31" s="261"/>
      <c r="C31" s="30">
        <f>SUM('FY 3 Most Likely'!B9:B33)</f>
        <v>941830.45142747</v>
      </c>
      <c r="D31" s="30">
        <f>SUM('FY 3 Most Likely'!C9:C33)</f>
        <v>774321.3797988434</v>
      </c>
      <c r="E31" s="30">
        <f>SUM('FY 3 Most Likely'!D9:D33)</f>
        <v>803685.6045887857</v>
      </c>
      <c r="F31" s="30">
        <f>SUM('FY 3 Most Likely'!E9:E33)</f>
        <v>834518.040618225</v>
      </c>
      <c r="G31" s="30">
        <f>SUM('FY 3 Most Likely'!F9:F33)</f>
        <v>871552.0404491364</v>
      </c>
      <c r="H31" s="30">
        <f>SUM('FY 3 Most Likely'!G9:G33)</f>
        <v>905544.8011715931</v>
      </c>
      <c r="I31" s="30">
        <f>SUM('FY 3 Most Likely'!H9:H33)</f>
        <v>941237.1999301729</v>
      </c>
      <c r="J31" s="30">
        <f>SUM('FY 3 Most Likely'!I9:I33)</f>
        <v>983239.2186266816</v>
      </c>
      <c r="K31" s="30">
        <f>SUM('FY 3 Most Likely'!J9:J33)</f>
        <v>1222590.0882580157</v>
      </c>
      <c r="L31" s="30">
        <f>SUM('FY 3 Most Likely'!K9:K33)</f>
        <v>1068433.5013709166</v>
      </c>
      <c r="M31" s="30">
        <f>SUM('FY 3 Most Likely'!L9:L33)</f>
        <v>1111817.835139462</v>
      </c>
      <c r="N31" s="30">
        <f>SUM('FY 3 Most Likely'!M9:M33)</f>
        <v>1161896.3855964353</v>
      </c>
      <c r="O31" s="105">
        <f>SUM(C31:N31)</f>
        <v>11620666.54697574</v>
      </c>
    </row>
    <row r="32" spans="1:15" ht="15.75" thickBot="1">
      <c r="A32" s="253" t="s">
        <v>190</v>
      </c>
      <c r="B32" s="254"/>
      <c r="C32" s="106">
        <f>O23+C30-C31</f>
        <v>2533709.3117638454</v>
      </c>
      <c r="D32" s="106">
        <f aca="true" t="shared" si="3" ref="D32:N32">C32+D30-D31</f>
        <v>2592953.0227762638</v>
      </c>
      <c r="E32" s="106">
        <f t="shared" si="3"/>
        <v>2664510.763539303</v>
      </c>
      <c r="F32" s="106">
        <f t="shared" si="3"/>
        <v>2748998.2355404943</v>
      </c>
      <c r="G32" s="106">
        <f t="shared" si="3"/>
        <v>2842401.983341745</v>
      </c>
      <c r="H32" s="106">
        <f t="shared" si="3"/>
        <v>2950060.7598330583</v>
      </c>
      <c r="I32" s="106">
        <f t="shared" si="3"/>
        <v>3072687.3164489376</v>
      </c>
      <c r="J32" s="106">
        <f t="shared" si="3"/>
        <v>3206505.0421956107</v>
      </c>
      <c r="K32" s="106">
        <f t="shared" si="3"/>
        <v>3156824.745529617</v>
      </c>
      <c r="L32" s="106">
        <f t="shared" si="3"/>
        <v>3319946.525330324</v>
      </c>
      <c r="M32" s="106">
        <f t="shared" si="3"/>
        <v>3501261.735421067</v>
      </c>
      <c r="N32" s="106">
        <f t="shared" si="3"/>
        <v>3697155.0473163463</v>
      </c>
      <c r="O32" s="107">
        <f>N32</f>
        <v>3697155.0473163463</v>
      </c>
    </row>
    <row r="33" spans="1:15" ht="15">
      <c r="A33" s="108"/>
      <c r="B33" s="109"/>
      <c r="C33" s="110"/>
      <c r="D33" s="110"/>
      <c r="E33" s="110"/>
      <c r="F33" s="110"/>
      <c r="G33" s="110"/>
      <c r="H33" s="110"/>
      <c r="I33" s="110"/>
      <c r="J33" s="110"/>
      <c r="K33" s="110"/>
      <c r="L33" s="110"/>
      <c r="M33" s="110"/>
      <c r="N33" s="110"/>
      <c r="O33" s="111"/>
    </row>
    <row r="34" spans="1:15" ht="15">
      <c r="A34" s="108"/>
      <c r="B34" s="109"/>
      <c r="C34" s="110"/>
      <c r="D34" s="110"/>
      <c r="E34" s="110"/>
      <c r="F34" s="110"/>
      <c r="G34" s="110"/>
      <c r="H34" s="110"/>
      <c r="I34" s="110"/>
      <c r="J34" s="110"/>
      <c r="K34" s="110"/>
      <c r="L34" s="110"/>
      <c r="M34" s="110"/>
      <c r="N34" s="110"/>
      <c r="O34" s="111"/>
    </row>
    <row r="35" spans="1:15" ht="15">
      <c r="A35" s="108"/>
      <c r="B35" s="109"/>
      <c r="C35" s="110"/>
      <c r="D35" s="110"/>
      <c r="E35" s="110"/>
      <c r="F35" s="110"/>
      <c r="G35" s="110"/>
      <c r="H35" s="110"/>
      <c r="I35" s="110"/>
      <c r="J35" s="110"/>
      <c r="K35" s="110"/>
      <c r="L35" s="110"/>
      <c r="M35" s="110"/>
      <c r="N35" s="110"/>
      <c r="O35" s="111"/>
    </row>
    <row r="36" ht="15.75" thickBot="1"/>
    <row r="37" spans="3:15" ht="15.75" thickBot="1">
      <c r="C37" s="255" t="s">
        <v>206</v>
      </c>
      <c r="D37" s="256"/>
      <c r="E37" s="256"/>
      <c r="F37" s="256"/>
      <c r="G37" s="256"/>
      <c r="H37" s="256"/>
      <c r="I37" s="256"/>
      <c r="J37" s="256"/>
      <c r="K37" s="256"/>
      <c r="L37" s="256"/>
      <c r="M37" s="256"/>
      <c r="N37" s="256"/>
      <c r="O37" s="257"/>
    </row>
    <row r="38" spans="3:15" ht="15.75" thickBot="1">
      <c r="C38" s="210">
        <v>1</v>
      </c>
      <c r="D38" s="211">
        <v>2</v>
      </c>
      <c r="E38" s="211">
        <v>3</v>
      </c>
      <c r="F38" s="211">
        <v>4</v>
      </c>
      <c r="G38" s="211">
        <v>5</v>
      </c>
      <c r="H38" s="211">
        <v>6</v>
      </c>
      <c r="I38" s="211">
        <v>7</v>
      </c>
      <c r="J38" s="211">
        <v>8</v>
      </c>
      <c r="K38" s="211">
        <v>9</v>
      </c>
      <c r="L38" s="211">
        <v>10</v>
      </c>
      <c r="M38" s="211">
        <v>11</v>
      </c>
      <c r="N38" s="212">
        <v>12</v>
      </c>
      <c r="O38" s="213" t="s">
        <v>210</v>
      </c>
    </row>
    <row r="39" spans="1:15" ht="15.75" thickBot="1">
      <c r="A39" s="258" t="s">
        <v>195</v>
      </c>
      <c r="B39" s="259"/>
      <c r="C39" s="30">
        <f>'FY 4 Most Likely'!B7</f>
        <v>1425679.1823663006</v>
      </c>
      <c r="D39" s="30">
        <f>'FY 4 Most Likely'!C7</f>
        <v>1496963.1414846159</v>
      </c>
      <c r="E39" s="30">
        <f>'FY 4 Most Likely'!D7</f>
        <v>1571811.2985588466</v>
      </c>
      <c r="F39" s="30">
        <f>'FY 4 Most Likely'!E7</f>
        <v>1650401.863486789</v>
      </c>
      <c r="G39" s="30">
        <f>'FY 4 Most Likely'!F7</f>
        <v>1732921.9566611284</v>
      </c>
      <c r="H39" s="30">
        <f>'FY 4 Most Likely'!G7</f>
        <v>1819568.054494185</v>
      </c>
      <c r="I39" s="30">
        <f>'FY 4 Most Likely'!H7</f>
        <v>1910546.4572188945</v>
      </c>
      <c r="J39" s="30">
        <f>'FY 4 Most Likely'!I7</f>
        <v>2006073.7800798393</v>
      </c>
      <c r="K39" s="30">
        <f>'FY 4 Most Likely'!J7</f>
        <v>2106377.469083831</v>
      </c>
      <c r="L39" s="30">
        <f>'FY 4 Most Likely'!K7</f>
        <v>2211696.342538023</v>
      </c>
      <c r="M39" s="30">
        <f>'FY 4 Most Likely'!L7</f>
        <v>2322281.1596649243</v>
      </c>
      <c r="N39" s="30">
        <f>'FY 4 Most Likely'!M7</f>
        <v>2438395.217648171</v>
      </c>
      <c r="O39" s="112">
        <f>SUM(C39:N39)</f>
        <v>22692715.923285548</v>
      </c>
    </row>
    <row r="40" spans="1:15" ht="15.75" thickBot="1">
      <c r="A40" s="260" t="s">
        <v>196</v>
      </c>
      <c r="B40" s="261"/>
      <c r="C40" s="30">
        <f>SUM('FY 4 Most Likely'!B9:B33)</f>
        <v>1214387.5555762574</v>
      </c>
      <c r="D40" s="30">
        <f>SUM('FY 4 Most Likely'!C9:C33)</f>
        <v>1264610.3449550702</v>
      </c>
      <c r="E40" s="30">
        <f>SUM('FY 4 Most Likely'!D9:D33)</f>
        <v>1521869.2738028236</v>
      </c>
      <c r="F40" s="30">
        <f>SUM('FY 4 Most Likely'!E9:E33)</f>
        <v>1377239.8990929648</v>
      </c>
      <c r="G40" s="30">
        <f>SUM('FY 4 Most Likely'!F9:F33)</f>
        <v>1439904.055647613</v>
      </c>
      <c r="H40" s="30">
        <f>SUM('FY 4 Most Likely'!G9:G33)</f>
        <v>1505475.1700299939</v>
      </c>
      <c r="I40" s="30">
        <f>SUM('FY 4 Most Likely'!H9:H33)</f>
        <v>1574233.5321314938</v>
      </c>
      <c r="J40" s="30">
        <f>SUM('FY 4 Most Likely'!I9:I33)</f>
        <v>1841536.8732380685</v>
      </c>
      <c r="K40" s="30">
        <f>SUM('FY 4 Most Likely'!J9:J33)</f>
        <v>1716730.3813999721</v>
      </c>
      <c r="L40" s="30">
        <f>SUM('FY 4 Most Likely'!K9:K33)</f>
        <v>1795457.3149699708</v>
      </c>
      <c r="M40" s="30">
        <f>SUM('FY 4 Most Likely'!L9:L33)</f>
        <v>1877894.3452184694</v>
      </c>
      <c r="N40" s="30">
        <f>SUM('FY 4 Most Likely'!M9:M33)</f>
        <v>1964361.918979393</v>
      </c>
      <c r="O40" s="105">
        <f>SUM(C40:N40)</f>
        <v>19093700.665042087</v>
      </c>
    </row>
    <row r="41" spans="1:15" ht="15.75" thickBot="1">
      <c r="A41" s="253" t="s">
        <v>190</v>
      </c>
      <c r="B41" s="254"/>
      <c r="C41" s="106">
        <f>O32+C39-C40</f>
        <v>3908446.6741063893</v>
      </c>
      <c r="D41" s="106">
        <f aca="true" t="shared" si="4" ref="D41:N41">C41+D39-D40</f>
        <v>4140799.4706359357</v>
      </c>
      <c r="E41" s="106">
        <f t="shared" si="4"/>
        <v>4190741.4953919584</v>
      </c>
      <c r="F41" s="106">
        <f t="shared" si="4"/>
        <v>4463903.459785783</v>
      </c>
      <c r="G41" s="106">
        <f t="shared" si="4"/>
        <v>4756921.360799298</v>
      </c>
      <c r="H41" s="106">
        <f t="shared" si="4"/>
        <v>5071014.245263489</v>
      </c>
      <c r="I41" s="106">
        <f t="shared" si="4"/>
        <v>5407327.17035089</v>
      </c>
      <c r="J41" s="106">
        <f t="shared" si="4"/>
        <v>5571864.07719266</v>
      </c>
      <c r="K41" s="106">
        <f t="shared" si="4"/>
        <v>5961511.164876519</v>
      </c>
      <c r="L41" s="106">
        <f t="shared" si="4"/>
        <v>6377750.192444571</v>
      </c>
      <c r="M41" s="106">
        <f t="shared" si="4"/>
        <v>6822137.006891026</v>
      </c>
      <c r="N41" s="106">
        <f t="shared" si="4"/>
        <v>7296170.305559805</v>
      </c>
      <c r="O41" s="107">
        <f>N41</f>
        <v>7296170.305559805</v>
      </c>
    </row>
    <row r="42" spans="1:15" ht="15">
      <c r="A42" s="108"/>
      <c r="B42" s="109"/>
      <c r="C42" s="110"/>
      <c r="D42" s="110"/>
      <c r="E42" s="110"/>
      <c r="F42" s="110"/>
      <c r="G42" s="110"/>
      <c r="H42" s="110"/>
      <c r="I42" s="110"/>
      <c r="J42" s="110"/>
      <c r="K42" s="110"/>
      <c r="L42" s="110"/>
      <c r="M42" s="110"/>
      <c r="N42" s="110"/>
      <c r="O42" s="111"/>
    </row>
    <row r="43" spans="1:15" ht="15">
      <c r="A43" s="108"/>
      <c r="B43" s="109"/>
      <c r="C43" s="110"/>
      <c r="D43" s="110"/>
      <c r="E43" s="110"/>
      <c r="F43" s="110"/>
      <c r="G43" s="110"/>
      <c r="H43" s="110"/>
      <c r="I43" s="110"/>
      <c r="J43" s="110"/>
      <c r="K43" s="110"/>
      <c r="L43" s="110"/>
      <c r="M43" s="110"/>
      <c r="N43" s="110"/>
      <c r="O43" s="111"/>
    </row>
    <row r="45" ht="15.75" thickBot="1"/>
    <row r="46" spans="3:15" ht="15.75" thickBot="1">
      <c r="C46" s="255" t="s">
        <v>207</v>
      </c>
      <c r="D46" s="256"/>
      <c r="E46" s="256"/>
      <c r="F46" s="256"/>
      <c r="G46" s="256"/>
      <c r="H46" s="256"/>
      <c r="I46" s="256"/>
      <c r="J46" s="256"/>
      <c r="K46" s="256"/>
      <c r="L46" s="256"/>
      <c r="M46" s="256"/>
      <c r="N46" s="256"/>
      <c r="O46" s="257"/>
    </row>
    <row r="47" spans="3:15" ht="15.75" thickBot="1">
      <c r="C47" s="210">
        <v>1</v>
      </c>
      <c r="D47" s="211">
        <v>2</v>
      </c>
      <c r="E47" s="211">
        <v>3</v>
      </c>
      <c r="F47" s="211">
        <v>4</v>
      </c>
      <c r="G47" s="211">
        <v>5</v>
      </c>
      <c r="H47" s="211">
        <v>6</v>
      </c>
      <c r="I47" s="211">
        <v>7</v>
      </c>
      <c r="J47" s="211">
        <v>8</v>
      </c>
      <c r="K47" s="211">
        <v>9</v>
      </c>
      <c r="L47" s="211">
        <v>10</v>
      </c>
      <c r="M47" s="211">
        <v>11</v>
      </c>
      <c r="N47" s="212">
        <v>12</v>
      </c>
      <c r="O47" s="213" t="s">
        <v>211</v>
      </c>
    </row>
    <row r="48" spans="1:15" ht="15.75" thickBot="1">
      <c r="A48" s="258" t="s">
        <v>195</v>
      </c>
      <c r="B48" s="259"/>
      <c r="C48" s="30">
        <f>'FY 5 Most Likely'!B7</f>
        <v>2511547.074177616</v>
      </c>
      <c r="D48" s="30">
        <f>'FY 5 Most Likely'!C7</f>
        <v>2586893.4864029447</v>
      </c>
      <c r="E48" s="30">
        <f>'FY 5 Most Likely'!D7</f>
        <v>2664500.290995033</v>
      </c>
      <c r="F48" s="30">
        <f>'FY 5 Most Likely'!E7</f>
        <v>2744435.2997248843</v>
      </c>
      <c r="G48" s="30">
        <f>'FY 5 Most Likely'!F7</f>
        <v>2826768.358716631</v>
      </c>
      <c r="H48" s="30">
        <f>'FY 5 Most Likely'!G7</f>
        <v>2911571.40947813</v>
      </c>
      <c r="I48" s="30">
        <f>'FY 5 Most Likely'!H7</f>
        <v>2998918.551762474</v>
      </c>
      <c r="J48" s="30">
        <f>'FY 5 Most Likely'!I7</f>
        <v>3088886.108315348</v>
      </c>
      <c r="K48" s="30">
        <f>'FY 5 Most Likely'!J7</f>
        <v>3181552.6915648086</v>
      </c>
      <c r="L48" s="30">
        <f>'FY 5 Most Likely'!K7</f>
        <v>3276999.272311753</v>
      </c>
      <c r="M48" s="30">
        <f>'FY 5 Most Likely'!L7</f>
        <v>3375309.250481106</v>
      </c>
      <c r="N48" s="30">
        <f>'FY 5 Most Likely'!M7</f>
        <v>3476568.527995539</v>
      </c>
      <c r="O48" s="112">
        <f>SUM(C48:N48)</f>
        <v>35643950.32192627</v>
      </c>
    </row>
    <row r="49" spans="1:15" ht="15.75" thickBot="1">
      <c r="A49" s="260" t="s">
        <v>196</v>
      </c>
      <c r="B49" s="261"/>
      <c r="C49" s="30">
        <f>SUM('FY 5 Most Likely'!B9:B33)</f>
        <v>2020238.001397417</v>
      </c>
      <c r="D49" s="30">
        <f>SUM('FY 5 Most Likely'!C9:C33)</f>
        <v>2273132.7049293397</v>
      </c>
      <c r="E49" s="30">
        <f>SUM('FY 5 Most Likely'!D9:D33)</f>
        <v>2132139.24956722</v>
      </c>
      <c r="F49" s="30">
        <f>SUM('FY 5 Most Likely'!E9:E33)</f>
        <v>2192780.2405442367</v>
      </c>
      <c r="G49" s="30">
        <f>SUM('FY 5 Most Likely'!F9:F33)</f>
        <v>2250579.7112505636</v>
      </c>
      <c r="H49" s="30">
        <f>SUM('FY 5 Most Likely'!G9:G33)</f>
        <v>2314772.608078081</v>
      </c>
      <c r="I49" s="30">
        <f>SUM('FY 5 Most Likely'!H9:H33)</f>
        <v>2580617.0665504234</v>
      </c>
      <c r="J49" s="30">
        <f>SUM('FY 5 Most Likely'!I9:I33)</f>
        <v>2448301.1087769363</v>
      </c>
      <c r="K49" s="30">
        <f>SUM('FY 5 Most Likely'!J9:J33)</f>
        <v>2513354.9222702445</v>
      </c>
      <c r="L49" s="30">
        <f>SUM('FY 5 Most Likely'!K9:K33)</f>
        <v>2584885.350168352</v>
      </c>
      <c r="M49" s="30">
        <f>SUM('FY 5 Most Likely'!L9:L33)</f>
        <v>2658560.382903402</v>
      </c>
      <c r="N49" s="30">
        <f>SUM('FY 5 Most Likely'!M9:M33)</f>
        <v>2734171.4413605044</v>
      </c>
      <c r="O49" s="105">
        <f>SUM(C49:N49)</f>
        <v>28703532.78779672</v>
      </c>
    </row>
    <row r="50" spans="1:15" ht="15.75" thickBot="1">
      <c r="A50" s="253" t="s">
        <v>190</v>
      </c>
      <c r="B50" s="254"/>
      <c r="C50" s="106">
        <f>O41+C48-C49</f>
        <v>7787479.378340003</v>
      </c>
      <c r="D50" s="106">
        <f aca="true" t="shared" si="5" ref="D50:N50">C50+D48-D49</f>
        <v>8101240.159813608</v>
      </c>
      <c r="E50" s="106">
        <f t="shared" si="5"/>
        <v>8633601.20124142</v>
      </c>
      <c r="F50" s="106">
        <f t="shared" si="5"/>
        <v>9185256.260422068</v>
      </c>
      <c r="G50" s="106">
        <f t="shared" si="5"/>
        <v>9761444.907888135</v>
      </c>
      <c r="H50" s="106">
        <f t="shared" si="5"/>
        <v>10358243.709288184</v>
      </c>
      <c r="I50" s="106">
        <f t="shared" si="5"/>
        <v>10776545.194500234</v>
      </c>
      <c r="J50" s="106">
        <f t="shared" si="5"/>
        <v>11417130.194038646</v>
      </c>
      <c r="K50" s="106">
        <f t="shared" si="5"/>
        <v>12085327.96333321</v>
      </c>
      <c r="L50" s="106">
        <f t="shared" si="5"/>
        <v>12777441.885476612</v>
      </c>
      <c r="M50" s="106">
        <f t="shared" si="5"/>
        <v>13494190.753054315</v>
      </c>
      <c r="N50" s="106">
        <f t="shared" si="5"/>
        <v>14236587.839689352</v>
      </c>
      <c r="O50" s="107">
        <f>N50</f>
        <v>14236587.839689352</v>
      </c>
    </row>
    <row r="52" ht="18.75" customHeight="1"/>
    <row r="53" spans="1:15" ht="15">
      <c r="A53" s="247" t="s">
        <v>297</v>
      </c>
      <c r="B53" s="247"/>
      <c r="C53" s="247"/>
      <c r="D53" s="247"/>
      <c r="E53" s="247"/>
      <c r="F53" s="247"/>
      <c r="G53" s="247"/>
      <c r="H53" s="247"/>
      <c r="I53" s="247"/>
      <c r="J53" s="247"/>
      <c r="K53" s="247"/>
      <c r="L53" s="247"/>
      <c r="M53" s="247"/>
      <c r="N53" s="247"/>
      <c r="O53" s="247"/>
    </row>
    <row r="54" spans="1:15" ht="15">
      <c r="A54" s="247"/>
      <c r="B54" s="247"/>
      <c r="C54" s="247"/>
      <c r="D54" s="247"/>
      <c r="E54" s="247"/>
      <c r="F54" s="247"/>
      <c r="G54" s="247"/>
      <c r="H54" s="247"/>
      <c r="I54" s="247"/>
      <c r="J54" s="247"/>
      <c r="K54" s="247"/>
      <c r="L54" s="247"/>
      <c r="M54" s="247"/>
      <c r="N54" s="247"/>
      <c r="O54" s="247"/>
    </row>
    <row r="55" spans="1:15" ht="15">
      <c r="A55" s="247"/>
      <c r="B55" s="247"/>
      <c r="C55" s="247"/>
      <c r="D55" s="247"/>
      <c r="E55" s="247"/>
      <c r="F55" s="247"/>
      <c r="G55" s="247"/>
      <c r="H55" s="247"/>
      <c r="I55" s="247"/>
      <c r="J55" s="247"/>
      <c r="K55" s="247"/>
      <c r="L55" s="247"/>
      <c r="M55" s="247"/>
      <c r="N55" s="247"/>
      <c r="O55" s="247"/>
    </row>
    <row r="56" spans="1:15" ht="15">
      <c r="A56" s="247"/>
      <c r="B56" s="247"/>
      <c r="C56" s="247"/>
      <c r="D56" s="247"/>
      <c r="E56" s="247"/>
      <c r="F56" s="247"/>
      <c r="G56" s="247"/>
      <c r="H56" s="247"/>
      <c r="I56" s="247"/>
      <c r="J56" s="247"/>
      <c r="K56" s="247"/>
      <c r="L56" s="247"/>
      <c r="M56" s="247"/>
      <c r="N56" s="247"/>
      <c r="O56" s="247"/>
    </row>
    <row r="57" spans="1:15" ht="15">
      <c r="A57" s="247"/>
      <c r="B57" s="247"/>
      <c r="C57" s="247"/>
      <c r="D57" s="247"/>
      <c r="E57" s="247"/>
      <c r="F57" s="247"/>
      <c r="G57" s="247"/>
      <c r="H57" s="247"/>
      <c r="I57" s="247"/>
      <c r="J57" s="247"/>
      <c r="K57" s="247"/>
      <c r="L57" s="247"/>
      <c r="M57" s="247"/>
      <c r="N57" s="247"/>
      <c r="O57" s="247"/>
    </row>
    <row r="59" spans="2:7" ht="15">
      <c r="B59" s="248" t="s">
        <v>288</v>
      </c>
      <c r="C59" s="248"/>
      <c r="D59" s="248"/>
      <c r="E59" s="248"/>
      <c r="F59" s="248"/>
      <c r="G59" s="248"/>
    </row>
  </sheetData>
  <sheetProtection password="DC55" sheet="1" objects="1" scenarios="1" formatCells="0" formatColumns="0" formatRows="0" insertColumns="0" insertRows="0" insertHyperlinks="0" deleteColumns="0" deleteRows="0" selectLockedCells="1" sort="0"/>
  <mergeCells count="28">
    <mergeCell ref="B59:G59"/>
    <mergeCell ref="A21:B21"/>
    <mergeCell ref="A13:B13"/>
    <mergeCell ref="A14:B14"/>
    <mergeCell ref="C28:O28"/>
    <mergeCell ref="A29:B29"/>
    <mergeCell ref="A22:B22"/>
    <mergeCell ref="A23:B23"/>
    <mergeCell ref="A48:B48"/>
    <mergeCell ref="A53:O57"/>
    <mergeCell ref="C1:O1"/>
    <mergeCell ref="A2:B2"/>
    <mergeCell ref="A3:B3"/>
    <mergeCell ref="A4:B4"/>
    <mergeCell ref="A5:B5"/>
    <mergeCell ref="C10:O10"/>
    <mergeCell ref="A12:B12"/>
    <mergeCell ref="C19:O19"/>
    <mergeCell ref="A30:B30"/>
    <mergeCell ref="A31:B31"/>
    <mergeCell ref="A32:B32"/>
    <mergeCell ref="A49:B49"/>
    <mergeCell ref="A50:B50"/>
    <mergeCell ref="C37:O37"/>
    <mergeCell ref="A39:B39"/>
    <mergeCell ref="A40:B40"/>
    <mergeCell ref="A41:B41"/>
    <mergeCell ref="C46:O46"/>
  </mergeCells>
  <printOptions horizontalCentered="1"/>
  <pageMargins left="0.7" right="0.7" top="0.75" bottom="0.75" header="0.3" footer="0.3"/>
  <pageSetup fitToHeight="1" fitToWidth="1" horizontalDpi="600" verticalDpi="600" orientation="landscape" scale="51" r:id="rId1"/>
  <headerFooter>
    <oddHeader>&amp;C&amp;"-,Bold"&amp;36&amp;UProject Victories Project Selection Tool</oddHeader>
    <oddFooter>&amp;CCopyright The Volpe Consortium, Inc.</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P59"/>
  <sheetViews>
    <sheetView view="pageLayout" workbookViewId="0" topLeftCell="C4">
      <selection activeCell="C19" sqref="C19:O19"/>
    </sheetView>
  </sheetViews>
  <sheetFormatPr defaultColWidth="9.140625" defaultRowHeight="15"/>
  <cols>
    <col min="1" max="1" width="29.8515625" style="0" customWidth="1"/>
    <col min="2" max="2" width="11.00390625" style="0" customWidth="1"/>
    <col min="3" max="3" width="15.140625" style="0" customWidth="1"/>
    <col min="4" max="4" width="15.00390625" style="0" customWidth="1"/>
    <col min="5" max="5" width="14.8515625" style="0" customWidth="1"/>
    <col min="6" max="6" width="15.00390625" style="0" customWidth="1"/>
    <col min="7" max="7" width="14.8515625" style="0" customWidth="1"/>
    <col min="8" max="8" width="15.00390625" style="0" customWidth="1"/>
    <col min="9" max="9" width="15.140625" style="0" customWidth="1"/>
    <col min="10" max="10" width="14.8515625" style="0" customWidth="1"/>
    <col min="11" max="11" width="15.00390625" style="0" customWidth="1"/>
    <col min="12" max="12" width="14.8515625" style="0" customWidth="1"/>
    <col min="13" max="13" width="15.8515625" style="0" customWidth="1"/>
    <col min="14" max="14" width="15.140625" style="0" customWidth="1"/>
    <col min="15" max="15" width="15.28125" style="0" bestFit="1" customWidth="1"/>
  </cols>
  <sheetData>
    <row r="1" spans="1:15" ht="15.75" thickBot="1">
      <c r="A1" s="102"/>
      <c r="C1" s="262" t="s">
        <v>197</v>
      </c>
      <c r="D1" s="263"/>
      <c r="E1" s="263"/>
      <c r="F1" s="263"/>
      <c r="G1" s="263"/>
      <c r="H1" s="263"/>
      <c r="I1" s="263"/>
      <c r="J1" s="263"/>
      <c r="K1" s="263"/>
      <c r="L1" s="263"/>
      <c r="M1" s="263"/>
      <c r="N1" s="263"/>
      <c r="O1" s="264"/>
    </row>
    <row r="2" spans="1:15" ht="15.75" thickBot="1">
      <c r="A2" s="265"/>
      <c r="B2" s="265"/>
      <c r="C2" s="210">
        <v>1</v>
      </c>
      <c r="D2" s="211">
        <v>2</v>
      </c>
      <c r="E2" s="211">
        <v>3</v>
      </c>
      <c r="F2" s="211">
        <v>4</v>
      </c>
      <c r="G2" s="211">
        <v>5</v>
      </c>
      <c r="H2" s="211">
        <v>6</v>
      </c>
      <c r="I2" s="211">
        <v>7</v>
      </c>
      <c r="J2" s="211">
        <v>8</v>
      </c>
      <c r="K2" s="211">
        <v>9</v>
      </c>
      <c r="L2" s="211">
        <v>10</v>
      </c>
      <c r="M2" s="211">
        <v>11</v>
      </c>
      <c r="N2" s="212">
        <v>12</v>
      </c>
      <c r="O2" s="213" t="s">
        <v>209</v>
      </c>
    </row>
    <row r="3" spans="1:16" ht="15.75" thickBot="1">
      <c r="A3" s="258" t="s">
        <v>195</v>
      </c>
      <c r="B3" s="259"/>
      <c r="C3" s="30">
        <f>'FY 0 Worst'!B7</f>
        <v>0</v>
      </c>
      <c r="D3" s="30">
        <f>'FY 0 Worst'!C7</f>
        <v>0</v>
      </c>
      <c r="E3" s="30">
        <f>'FY 0 Worst'!D7</f>
        <v>0</v>
      </c>
      <c r="F3" s="30">
        <f>'FY 0 Worst'!E7</f>
        <v>0</v>
      </c>
      <c r="G3" s="30">
        <f>'FY 0 Worst'!F7</f>
        <v>0</v>
      </c>
      <c r="H3" s="30">
        <f>'FY 0 Worst'!G7</f>
        <v>0</v>
      </c>
      <c r="I3" s="30">
        <f>'FY 0 Worst'!H7</f>
        <v>0</v>
      </c>
      <c r="J3" s="30">
        <f>'FY 0 Worst'!I7</f>
        <v>0</v>
      </c>
      <c r="K3" s="30">
        <f>'FY 0 Worst'!J7</f>
        <v>0</v>
      </c>
      <c r="L3" s="30">
        <f>'FY 0 Worst'!K7</f>
        <v>0</v>
      </c>
      <c r="M3" s="30">
        <f>'FY 0 Worst'!L7</f>
        <v>0</v>
      </c>
      <c r="N3" s="30">
        <f>'FY 0 Worst'!M7</f>
        <v>0</v>
      </c>
      <c r="O3" s="103">
        <f>SUM(C3:N3)</f>
        <v>0</v>
      </c>
      <c r="P3" s="104"/>
    </row>
    <row r="4" spans="1:15" ht="15.75" thickBot="1">
      <c r="A4" s="260" t="s">
        <v>196</v>
      </c>
      <c r="B4" s="261"/>
      <c r="C4" s="30">
        <f>SUM('FY 0 Worst'!B9:B33)</f>
        <v>47500</v>
      </c>
      <c r="D4" s="30">
        <f>SUM('FY 0 Worst'!C9:C33)</f>
        <v>22500</v>
      </c>
      <c r="E4" s="30">
        <f>SUM('FY 0 Worst'!D9:D33)</f>
        <v>22500</v>
      </c>
      <c r="F4" s="30">
        <f>SUM('FY 0 Worst'!E9:E33)</f>
        <v>22500</v>
      </c>
      <c r="G4" s="30">
        <f>SUM('FY 0 Worst'!F9:F33)</f>
        <v>22500</v>
      </c>
      <c r="H4" s="30">
        <f>SUM('FY 0 Worst'!G9:G33)</f>
        <v>22500</v>
      </c>
      <c r="I4" s="30">
        <f>SUM('FY 0 Worst'!H9:H33)</f>
        <v>22500</v>
      </c>
      <c r="J4" s="30">
        <f>SUM('FY 0 Worst'!I9:I33)</f>
        <v>22500</v>
      </c>
      <c r="K4" s="30">
        <f>SUM('FY 0 Worst'!J9:J33)</f>
        <v>22500</v>
      </c>
      <c r="L4" s="30">
        <f>SUM('FY 0 Worst'!K9:K33)</f>
        <v>22500</v>
      </c>
      <c r="M4" s="30">
        <f>SUM('FY 0 Worst'!L9:L33)</f>
        <v>22500</v>
      </c>
      <c r="N4" s="30">
        <f>SUM('FY 0 Worst'!M9:M33)</f>
        <v>22500</v>
      </c>
      <c r="O4" s="105">
        <f>SUM(C4:N4)</f>
        <v>295000</v>
      </c>
    </row>
    <row r="5" spans="1:15" ht="15.75" thickBot="1">
      <c r="A5" s="253" t="s">
        <v>212</v>
      </c>
      <c r="B5" s="254"/>
      <c r="C5" s="214">
        <f>4000000+C3-C4</f>
        <v>3952500</v>
      </c>
      <c r="D5" s="106">
        <f>C5+D3-D4</f>
        <v>3930000</v>
      </c>
      <c r="E5" s="106">
        <f aca="true" t="shared" si="0" ref="E5:N5">D5+E3-E4</f>
        <v>3907500</v>
      </c>
      <c r="F5" s="106">
        <f t="shared" si="0"/>
        <v>3885000</v>
      </c>
      <c r="G5" s="106">
        <f t="shared" si="0"/>
        <v>3862500</v>
      </c>
      <c r="H5" s="106">
        <f t="shared" si="0"/>
        <v>3840000</v>
      </c>
      <c r="I5" s="106">
        <f t="shared" si="0"/>
        <v>3817500</v>
      </c>
      <c r="J5" s="106">
        <f t="shared" si="0"/>
        <v>3795000</v>
      </c>
      <c r="K5" s="106">
        <f t="shared" si="0"/>
        <v>3772500</v>
      </c>
      <c r="L5" s="106">
        <f t="shared" si="0"/>
        <v>3750000</v>
      </c>
      <c r="M5" s="106">
        <f t="shared" si="0"/>
        <v>3727500</v>
      </c>
      <c r="N5" s="106">
        <f t="shared" si="0"/>
        <v>3705000</v>
      </c>
      <c r="O5" s="107">
        <f>N5</f>
        <v>3705000</v>
      </c>
    </row>
    <row r="6" spans="1:15" ht="15">
      <c r="A6" s="108"/>
      <c r="B6" s="109"/>
      <c r="C6" s="110"/>
      <c r="D6" s="110"/>
      <c r="E6" s="110"/>
      <c r="F6" s="110"/>
      <c r="G6" s="110"/>
      <c r="H6" s="110"/>
      <c r="I6" s="110"/>
      <c r="J6" s="110"/>
      <c r="K6" s="110"/>
      <c r="L6" s="110"/>
      <c r="M6" s="110"/>
      <c r="N6" s="110"/>
      <c r="O6" s="111"/>
    </row>
    <row r="7" spans="1:15" ht="15">
      <c r="A7" s="108"/>
      <c r="B7" s="109"/>
      <c r="C7" s="110"/>
      <c r="D7" s="110"/>
      <c r="E7" s="110"/>
      <c r="F7" s="110"/>
      <c r="G7" s="110"/>
      <c r="H7" s="110"/>
      <c r="I7" s="110"/>
      <c r="J7" s="110"/>
      <c r="K7" s="110"/>
      <c r="L7" s="110"/>
      <c r="M7" s="110"/>
      <c r="N7" s="110"/>
      <c r="O7" s="111"/>
    </row>
    <row r="8" spans="1:15" ht="15">
      <c r="A8" s="108"/>
      <c r="B8" s="109"/>
      <c r="C8" s="110"/>
      <c r="D8" s="110"/>
      <c r="E8" s="110"/>
      <c r="F8" s="110"/>
      <c r="G8" s="110"/>
      <c r="H8" s="110"/>
      <c r="I8" s="110"/>
      <c r="J8" s="110"/>
      <c r="K8" s="110"/>
      <c r="L8" s="110"/>
      <c r="M8" s="110"/>
      <c r="N8" s="110"/>
      <c r="O8" s="111"/>
    </row>
    <row r="9" ht="15.75" thickBot="1"/>
    <row r="10" spans="3:15" ht="15.75" thickBot="1">
      <c r="C10" s="255" t="s">
        <v>187</v>
      </c>
      <c r="D10" s="256"/>
      <c r="E10" s="256"/>
      <c r="F10" s="256"/>
      <c r="G10" s="256"/>
      <c r="H10" s="256"/>
      <c r="I10" s="256"/>
      <c r="J10" s="256"/>
      <c r="K10" s="256"/>
      <c r="L10" s="256"/>
      <c r="M10" s="256"/>
      <c r="N10" s="256"/>
      <c r="O10" s="257"/>
    </row>
    <row r="11" spans="3:15" ht="15.75" thickBot="1">
      <c r="C11" s="210">
        <v>1</v>
      </c>
      <c r="D11" s="211">
        <v>2</v>
      </c>
      <c r="E11" s="211">
        <v>3</v>
      </c>
      <c r="F11" s="211">
        <v>4</v>
      </c>
      <c r="G11" s="211">
        <v>5</v>
      </c>
      <c r="H11" s="211">
        <v>6</v>
      </c>
      <c r="I11" s="211">
        <v>7</v>
      </c>
      <c r="J11" s="211">
        <v>8</v>
      </c>
      <c r="K11" s="211">
        <v>9</v>
      </c>
      <c r="L11" s="211">
        <v>10</v>
      </c>
      <c r="M11" s="211">
        <v>11</v>
      </c>
      <c r="N11" s="212">
        <v>12</v>
      </c>
      <c r="O11" s="213" t="s">
        <v>188</v>
      </c>
    </row>
    <row r="12" spans="1:15" ht="15.75" thickBot="1">
      <c r="A12" s="258" t="s">
        <v>195</v>
      </c>
      <c r="B12" s="259"/>
      <c r="C12" s="30">
        <f>'FY 1 Worst'!B7</f>
        <v>0</v>
      </c>
      <c r="D12" s="30">
        <f>'FY 1 Worst'!C7</f>
        <v>0</v>
      </c>
      <c r="E12" s="30">
        <f>'FY 1 Worst'!D7</f>
        <v>0</v>
      </c>
      <c r="F12" s="30">
        <f>'FY 1 Worst'!E7</f>
        <v>0</v>
      </c>
      <c r="G12" s="30">
        <f>'FY 1 Worst'!F7</f>
        <v>0</v>
      </c>
      <c r="H12" s="30">
        <f>'FY 1 Worst'!G7</f>
        <v>0</v>
      </c>
      <c r="I12" s="30">
        <f>'FY 1 Worst'!H7</f>
        <v>0</v>
      </c>
      <c r="J12" s="30">
        <f>'FY 1 Worst'!I7</f>
        <v>15840</v>
      </c>
      <c r="K12" s="30">
        <f>'FY 1 Worst'!J7</f>
        <v>31680</v>
      </c>
      <c r="L12" s="30">
        <f>'FY 1 Worst'!K7</f>
        <v>63360</v>
      </c>
      <c r="M12" s="30">
        <f>'FY 1 Worst'!L7</f>
        <v>126720</v>
      </c>
      <c r="N12" s="30">
        <f>'FY 1 Worst'!M7</f>
        <v>145728</v>
      </c>
      <c r="O12" s="103">
        <f>SUM(C12:N12)</f>
        <v>383328</v>
      </c>
    </row>
    <row r="13" spans="1:15" ht="15.75" thickBot="1">
      <c r="A13" s="260" t="s">
        <v>196</v>
      </c>
      <c r="B13" s="261"/>
      <c r="C13" s="30">
        <f>SUM('FY 1 Worst'!B9:B33)</f>
        <v>24667</v>
      </c>
      <c r="D13" s="30">
        <f>SUM('FY 1 Worst'!C9:C33)</f>
        <v>24667</v>
      </c>
      <c r="E13" s="30">
        <f>SUM('FY 1 Worst'!D9:D33)</f>
        <v>24667</v>
      </c>
      <c r="F13" s="30">
        <f>SUM('FY 1 Worst'!E9:E33)</f>
        <v>224667</v>
      </c>
      <c r="G13" s="30">
        <f>SUM('FY 1 Worst'!F9:F33)</f>
        <v>34667</v>
      </c>
      <c r="H13" s="30">
        <f>SUM('FY 1 Worst'!G9:G33)</f>
        <v>46217</v>
      </c>
      <c r="I13" s="30">
        <f>SUM('FY 1 Worst'!H9:H33)</f>
        <v>84892</v>
      </c>
      <c r="J13" s="30">
        <f>SUM('FY 1 Worst'!I9:I33)</f>
        <v>98186.942</v>
      </c>
      <c r="K13" s="30">
        <f>SUM('FY 1 Worst'!J9:J33)</f>
        <v>109346.942</v>
      </c>
      <c r="L13" s="30">
        <f>SUM('FY 1 Worst'!K9:K33)</f>
        <v>131666.94199999998</v>
      </c>
      <c r="M13" s="30">
        <f>SUM('FY 1 Worst'!L9:L33)</f>
        <v>185231.942</v>
      </c>
      <c r="N13" s="30">
        <f>SUM('FY 1 Worst'!M9:M33)</f>
        <v>198623.942</v>
      </c>
      <c r="O13" s="105">
        <f>SUM(C13:N13)</f>
        <v>1187500.7100000002</v>
      </c>
    </row>
    <row r="14" spans="1:15" ht="15.75" thickBot="1">
      <c r="A14" s="253" t="s">
        <v>190</v>
      </c>
      <c r="B14" s="254"/>
      <c r="C14" s="106">
        <f>O5+C12-C13</f>
        <v>3680333</v>
      </c>
      <c r="D14" s="106">
        <f>C14+D12-D13</f>
        <v>3655666</v>
      </c>
      <c r="E14" s="106">
        <f aca="true" t="shared" si="1" ref="E14:N14">D14+E12-E13</f>
        <v>3630999</v>
      </c>
      <c r="F14" s="106">
        <f t="shared" si="1"/>
        <v>3406332</v>
      </c>
      <c r="G14" s="106">
        <f t="shared" si="1"/>
        <v>3371665</v>
      </c>
      <c r="H14" s="106">
        <f t="shared" si="1"/>
        <v>3325448</v>
      </c>
      <c r="I14" s="106">
        <f t="shared" si="1"/>
        <v>3240556</v>
      </c>
      <c r="J14" s="106">
        <f t="shared" si="1"/>
        <v>3158209.058</v>
      </c>
      <c r="K14" s="106">
        <f t="shared" si="1"/>
        <v>3080542.1160000004</v>
      </c>
      <c r="L14" s="106">
        <f t="shared" si="1"/>
        <v>3012235.1740000006</v>
      </c>
      <c r="M14" s="106">
        <f t="shared" si="1"/>
        <v>2953723.232000001</v>
      </c>
      <c r="N14" s="106">
        <f t="shared" si="1"/>
        <v>2900827.290000001</v>
      </c>
      <c r="O14" s="107">
        <f>N14</f>
        <v>2900827.290000001</v>
      </c>
    </row>
    <row r="15" spans="1:15" ht="15">
      <c r="A15" s="108"/>
      <c r="B15" s="109"/>
      <c r="C15" s="110"/>
      <c r="D15" s="110"/>
      <c r="E15" s="110"/>
      <c r="F15" s="110"/>
      <c r="G15" s="110"/>
      <c r="H15" s="110"/>
      <c r="I15" s="110"/>
      <c r="J15" s="110"/>
      <c r="K15" s="110"/>
      <c r="L15" s="110"/>
      <c r="M15" s="110"/>
      <c r="N15" s="110"/>
      <c r="O15" s="111"/>
    </row>
    <row r="16" spans="1:15" ht="15">
      <c r="A16" s="108"/>
      <c r="B16" s="109"/>
      <c r="C16" s="110"/>
      <c r="D16" s="110"/>
      <c r="E16" s="110"/>
      <c r="F16" s="110"/>
      <c r="G16" s="110"/>
      <c r="H16" s="110"/>
      <c r="I16" s="110"/>
      <c r="J16" s="110"/>
      <c r="K16" s="110"/>
      <c r="L16" s="110"/>
      <c r="M16" s="110"/>
      <c r="N16" s="110"/>
      <c r="O16" s="111"/>
    </row>
    <row r="18" ht="15.75" thickBot="1"/>
    <row r="19" spans="3:15" ht="15.75" thickBot="1">
      <c r="C19" s="255" t="s">
        <v>205</v>
      </c>
      <c r="D19" s="256"/>
      <c r="E19" s="256"/>
      <c r="F19" s="256"/>
      <c r="G19" s="256"/>
      <c r="H19" s="256"/>
      <c r="I19" s="256"/>
      <c r="J19" s="256"/>
      <c r="K19" s="256"/>
      <c r="L19" s="256"/>
      <c r="M19" s="256"/>
      <c r="N19" s="256"/>
      <c r="O19" s="257"/>
    </row>
    <row r="20" spans="3:15" ht="15.75" thickBot="1">
      <c r="C20" s="210">
        <v>1</v>
      </c>
      <c r="D20" s="211">
        <v>2</v>
      </c>
      <c r="E20" s="211">
        <v>3</v>
      </c>
      <c r="F20" s="211">
        <v>4</v>
      </c>
      <c r="G20" s="211">
        <v>5</v>
      </c>
      <c r="H20" s="211">
        <v>6</v>
      </c>
      <c r="I20" s="211">
        <v>7</v>
      </c>
      <c r="J20" s="211">
        <v>8</v>
      </c>
      <c r="K20" s="211">
        <v>9</v>
      </c>
      <c r="L20" s="211">
        <v>10</v>
      </c>
      <c r="M20" s="211">
        <v>11</v>
      </c>
      <c r="N20" s="212">
        <v>12</v>
      </c>
      <c r="O20" s="213" t="s">
        <v>189</v>
      </c>
    </row>
    <row r="21" spans="1:15" ht="15.75" thickBot="1">
      <c r="A21" s="258" t="s">
        <v>195</v>
      </c>
      <c r="B21" s="259"/>
      <c r="C21" s="30">
        <f>'FY 2 Worst'!B7</f>
        <v>160300.80000000002</v>
      </c>
      <c r="D21" s="30">
        <f>'FY 2 Worst'!C7</f>
        <v>176330.88</v>
      </c>
      <c r="E21" s="30">
        <f>'FY 2 Worst'!D7</f>
        <v>193963.96800000002</v>
      </c>
      <c r="F21" s="30">
        <f>'FY 2 Worst'!E7</f>
        <v>213360.36480000007</v>
      </c>
      <c r="G21" s="30">
        <f>'FY 2 Worst'!F7</f>
        <v>234696.4012800001</v>
      </c>
      <c r="H21" s="30">
        <f>'FY 2 Worst'!G7</f>
        <v>258166.04140800014</v>
      </c>
      <c r="I21" s="30">
        <f>'FY 2 Worst'!H7</f>
        <v>283982.6455488001</v>
      </c>
      <c r="J21" s="30">
        <f>'FY 2 Worst'!I7</f>
        <v>312380.9101036802</v>
      </c>
      <c r="K21" s="30">
        <f>'FY 2 Worst'!J7</f>
        <v>343619.0011140483</v>
      </c>
      <c r="L21" s="30">
        <f>'FY 2 Worst'!K7</f>
        <v>377980.9012254531</v>
      </c>
      <c r="M21" s="30">
        <f>'FY 2 Worst'!L7</f>
        <v>415778.99134799844</v>
      </c>
      <c r="N21" s="30">
        <f>'FY 2 Worst'!M7</f>
        <v>457356.89048279834</v>
      </c>
      <c r="O21" s="112">
        <f>SUM(C21:N21)</f>
        <v>3427917.7953107785</v>
      </c>
    </row>
    <row r="22" spans="1:15" ht="15.75" thickBot="1">
      <c r="A22" s="260" t="s">
        <v>196</v>
      </c>
      <c r="B22" s="261"/>
      <c r="C22" s="30">
        <f>SUM('FY 2 Worst'!B9:B33)</f>
        <v>221891.142</v>
      </c>
      <c r="D22" s="30">
        <f>SUM('FY 2 Worst'!C9:C33)</f>
        <v>233185.06200000003</v>
      </c>
      <c r="E22" s="30">
        <f>SUM('FY 2 Worst'!D9:D33)</f>
        <v>245608.374</v>
      </c>
      <c r="F22" s="30">
        <f>SUM('FY 2 Worst'!E9:E33)</f>
        <v>259274.01720000006</v>
      </c>
      <c r="G22" s="30">
        <f>SUM('FY 2 Worst'!F9:F33)</f>
        <v>274306.2247200001</v>
      </c>
      <c r="H22" s="30">
        <f>SUM('FY 2 Worst'!G9:G33)</f>
        <v>299766.65299200005</v>
      </c>
      <c r="I22" s="30">
        <f>SUM('FY 2 Worst'!H9:H33)</f>
        <v>317955.62409120006</v>
      </c>
      <c r="J22" s="30">
        <f>SUM('FY 2 Worst'!I9:I33)</f>
        <v>337963.4923003201</v>
      </c>
      <c r="K22" s="30">
        <f>SUM('FY 2 Worst'!J9:J33)</f>
        <v>559972.1473303522</v>
      </c>
      <c r="L22" s="30">
        <f>SUM('FY 2 Worst'!K9:K33)</f>
        <v>415106.66786338744</v>
      </c>
      <c r="M22" s="30">
        <f>SUM('FY 2 Worst'!L9:L33)</f>
        <v>441737.14044972614</v>
      </c>
      <c r="N22" s="30">
        <f>SUM('FY 2 Worst'!M9:M33)</f>
        <v>471030.6602946988</v>
      </c>
      <c r="O22" s="105">
        <f>SUM(C22:N22)</f>
        <v>4077797.205241685</v>
      </c>
    </row>
    <row r="23" spans="1:15" ht="15.75" thickBot="1">
      <c r="A23" s="253" t="s">
        <v>190</v>
      </c>
      <c r="B23" s="254"/>
      <c r="C23" s="106">
        <f>O14+C21-C22</f>
        <v>2839236.948000001</v>
      </c>
      <c r="D23" s="106">
        <f>C23+D21-D22</f>
        <v>2782382.7660000008</v>
      </c>
      <c r="E23" s="106">
        <f aca="true" t="shared" si="2" ref="E23:N23">D23+E21-E22</f>
        <v>2730738.360000001</v>
      </c>
      <c r="F23" s="106">
        <f t="shared" si="2"/>
        <v>2684824.707600001</v>
      </c>
      <c r="G23" s="106">
        <f t="shared" si="2"/>
        <v>2645214.884160001</v>
      </c>
      <c r="H23" s="106">
        <f t="shared" si="2"/>
        <v>2603614.272576001</v>
      </c>
      <c r="I23" s="106">
        <f t="shared" si="2"/>
        <v>2569641.294033601</v>
      </c>
      <c r="J23" s="106">
        <f t="shared" si="2"/>
        <v>2544058.711836961</v>
      </c>
      <c r="K23" s="106">
        <f t="shared" si="2"/>
        <v>2327705.565620657</v>
      </c>
      <c r="L23" s="106">
        <f t="shared" si="2"/>
        <v>2290579.7989827227</v>
      </c>
      <c r="M23" s="106">
        <f t="shared" si="2"/>
        <v>2264621.649880995</v>
      </c>
      <c r="N23" s="106">
        <f t="shared" si="2"/>
        <v>2250947.8800690947</v>
      </c>
      <c r="O23" s="107">
        <f>N23</f>
        <v>2250947.8800690947</v>
      </c>
    </row>
    <row r="27" ht="15.75" thickBot="1"/>
    <row r="28" spans="1:15" ht="15.75" thickBot="1">
      <c r="A28" s="102"/>
      <c r="C28" s="262" t="s">
        <v>191</v>
      </c>
      <c r="D28" s="263"/>
      <c r="E28" s="263"/>
      <c r="F28" s="263"/>
      <c r="G28" s="263"/>
      <c r="H28" s="263"/>
      <c r="I28" s="263"/>
      <c r="J28" s="263"/>
      <c r="K28" s="263"/>
      <c r="L28" s="263"/>
      <c r="M28" s="263"/>
      <c r="N28" s="263"/>
      <c r="O28" s="264"/>
    </row>
    <row r="29" spans="1:15" ht="15.75" thickBot="1">
      <c r="A29" s="265"/>
      <c r="B29" s="265"/>
      <c r="C29" s="210">
        <v>1</v>
      </c>
      <c r="D29" s="211">
        <v>2</v>
      </c>
      <c r="E29" s="211">
        <v>3</v>
      </c>
      <c r="F29" s="211">
        <v>4</v>
      </c>
      <c r="G29" s="211">
        <v>5</v>
      </c>
      <c r="H29" s="211">
        <v>6</v>
      </c>
      <c r="I29" s="211">
        <v>7</v>
      </c>
      <c r="J29" s="211">
        <v>8</v>
      </c>
      <c r="K29" s="211">
        <v>9</v>
      </c>
      <c r="L29" s="211">
        <v>10</v>
      </c>
      <c r="M29" s="211">
        <v>11</v>
      </c>
      <c r="N29" s="212">
        <v>12</v>
      </c>
      <c r="O29" s="213" t="s">
        <v>192</v>
      </c>
    </row>
    <row r="30" spans="1:15" ht="15.75" thickBot="1">
      <c r="A30" s="258" t="s">
        <v>195</v>
      </c>
      <c r="B30" s="259"/>
      <c r="C30" s="30">
        <f>'FY 3 Worst'!B7</f>
        <v>480224.7350069383</v>
      </c>
      <c r="D30" s="30">
        <f>'FY 3 Worst'!C7</f>
        <v>504235.97175728524</v>
      </c>
      <c r="E30" s="30">
        <f>'FY 3 Worst'!D7</f>
        <v>529447.7703451494</v>
      </c>
      <c r="F30" s="30">
        <f>'FY 3 Worst'!E7</f>
        <v>555920.158862407</v>
      </c>
      <c r="G30" s="30">
        <f>'FY 3 Worst'!F7</f>
        <v>583716.1668055274</v>
      </c>
      <c r="H30" s="30">
        <f>'FY 3 Worst'!G7</f>
        <v>612901.9751458036</v>
      </c>
      <c r="I30" s="30">
        <f>'FY 3 Worst'!H7</f>
        <v>643547.0739030939</v>
      </c>
      <c r="J30" s="30">
        <f>'FY 3 Worst'!I7</f>
        <v>675724.4275982486</v>
      </c>
      <c r="K30" s="30">
        <f>'FY 3 Worst'!J7</f>
        <v>709510.648978161</v>
      </c>
      <c r="L30" s="30">
        <f>'FY 3 Worst'!K7</f>
        <v>744986.1814270691</v>
      </c>
      <c r="M30" s="30">
        <f>'FY 3 Worst'!L7</f>
        <v>782235.4904984226</v>
      </c>
      <c r="N30" s="30">
        <f>'FY 3 Worst'!M7</f>
        <v>821347.2650233437</v>
      </c>
      <c r="O30" s="112">
        <f>SUM(C30:N30)</f>
        <v>7643797.86535145</v>
      </c>
    </row>
    <row r="31" spans="1:15" ht="15.75" thickBot="1">
      <c r="A31" s="260" t="s">
        <v>196</v>
      </c>
      <c r="B31" s="261"/>
      <c r="C31" s="30">
        <f>SUM('FY 3 Worst'!B9:B33)</f>
        <v>511802.0382094338</v>
      </c>
      <c r="D31" s="30">
        <f>SUM('FY 3 Worst'!C9:C33)</f>
        <v>528719.0459199055</v>
      </c>
      <c r="E31" s="30">
        <f>SUM('FY 3 Worst'!D9:D33)</f>
        <v>546481.9040159008</v>
      </c>
      <c r="F31" s="30">
        <f>SUM('FY 3 Worst'!E9:E33)</f>
        <v>565132.9050166958</v>
      </c>
      <c r="G31" s="30">
        <f>SUM('FY 3 Worst'!F9:F33)</f>
        <v>584716.4560675306</v>
      </c>
      <c r="H31" s="30">
        <f>SUM('FY 3 Worst'!G9:G33)</f>
        <v>609804.1846709071</v>
      </c>
      <c r="I31" s="30">
        <f>SUM('FY 3 Worst'!H9:H33)</f>
        <v>631395.0497044524</v>
      </c>
      <c r="J31" s="30">
        <f>SUM('FY 3 Worst'!I9:I33)</f>
        <v>654065.4579896751</v>
      </c>
      <c r="K31" s="30">
        <f>SUM('FY 3 Worst'!J9:J33)</f>
        <v>677869.3866891589</v>
      </c>
      <c r="L31" s="30">
        <f>SUM('FY 3 Worst'!K9:K33)</f>
        <v>707388.5118236169</v>
      </c>
      <c r="M31" s="30">
        <f>SUM('FY 3 Worst'!L9:L33)</f>
        <v>933632.3432147978</v>
      </c>
      <c r="N31" s="30">
        <f>SUM('FY 3 Worst'!M9:M33)</f>
        <v>761188.3661755376</v>
      </c>
      <c r="O31" s="105">
        <f>SUM(C31:N31)</f>
        <v>7712195.649497612</v>
      </c>
    </row>
    <row r="32" spans="1:15" ht="15.75" thickBot="1">
      <c r="A32" s="253" t="s">
        <v>190</v>
      </c>
      <c r="B32" s="254"/>
      <c r="C32" s="106">
        <f>O23+C30-C31</f>
        <v>2219370.5768665993</v>
      </c>
      <c r="D32" s="106">
        <f aca="true" t="shared" si="3" ref="D32:N32">C32+D30-D31</f>
        <v>2194887.502703979</v>
      </c>
      <c r="E32" s="106">
        <f t="shared" si="3"/>
        <v>2177853.3690332277</v>
      </c>
      <c r="F32" s="106">
        <f t="shared" si="3"/>
        <v>2168640.622878939</v>
      </c>
      <c r="G32" s="106">
        <f t="shared" si="3"/>
        <v>2167640.3336169356</v>
      </c>
      <c r="H32" s="106">
        <f t="shared" si="3"/>
        <v>2170738.1240918324</v>
      </c>
      <c r="I32" s="106">
        <f t="shared" si="3"/>
        <v>2182890.148290474</v>
      </c>
      <c r="J32" s="106">
        <f t="shared" si="3"/>
        <v>2204549.1178990477</v>
      </c>
      <c r="K32" s="106">
        <f t="shared" si="3"/>
        <v>2236190.3801880497</v>
      </c>
      <c r="L32" s="106">
        <f t="shared" si="3"/>
        <v>2273788.049791502</v>
      </c>
      <c r="M32" s="106">
        <f t="shared" si="3"/>
        <v>2122391.1970751267</v>
      </c>
      <c r="N32" s="106">
        <f t="shared" si="3"/>
        <v>2182550.095922933</v>
      </c>
      <c r="O32" s="107">
        <f>N32</f>
        <v>2182550.095922933</v>
      </c>
    </row>
    <row r="33" spans="1:15" ht="15">
      <c r="A33" s="108"/>
      <c r="B33" s="109"/>
      <c r="C33" s="110"/>
      <c r="D33" s="110"/>
      <c r="E33" s="110"/>
      <c r="F33" s="110"/>
      <c r="G33" s="110"/>
      <c r="H33" s="110"/>
      <c r="I33" s="110"/>
      <c r="J33" s="110"/>
      <c r="K33" s="110"/>
      <c r="L33" s="110"/>
      <c r="M33" s="110"/>
      <c r="N33" s="110"/>
      <c r="O33" s="111"/>
    </row>
    <row r="34" spans="1:15" ht="15">
      <c r="A34" s="108"/>
      <c r="B34" s="109"/>
      <c r="C34" s="110"/>
      <c r="D34" s="110"/>
      <c r="E34" s="110"/>
      <c r="F34" s="110"/>
      <c r="G34" s="110"/>
      <c r="H34" s="110"/>
      <c r="I34" s="110"/>
      <c r="J34" s="110"/>
      <c r="K34" s="110"/>
      <c r="L34" s="110"/>
      <c r="M34" s="110"/>
      <c r="N34" s="110"/>
      <c r="O34" s="111"/>
    </row>
    <row r="35" spans="1:15" ht="15">
      <c r="A35" s="108"/>
      <c r="B35" s="109"/>
      <c r="C35" s="110"/>
      <c r="D35" s="110"/>
      <c r="E35" s="110"/>
      <c r="F35" s="110"/>
      <c r="G35" s="110"/>
      <c r="H35" s="110"/>
      <c r="I35" s="110"/>
      <c r="J35" s="110"/>
      <c r="K35" s="110"/>
      <c r="L35" s="110"/>
      <c r="M35" s="110"/>
      <c r="N35" s="110"/>
      <c r="O35" s="111"/>
    </row>
    <row r="36" ht="15.75" thickBot="1"/>
    <row r="37" spans="3:15" ht="15.75" thickBot="1">
      <c r="C37" s="255" t="s">
        <v>206</v>
      </c>
      <c r="D37" s="256"/>
      <c r="E37" s="256"/>
      <c r="F37" s="256"/>
      <c r="G37" s="256"/>
      <c r="H37" s="256"/>
      <c r="I37" s="256"/>
      <c r="J37" s="256"/>
      <c r="K37" s="256"/>
      <c r="L37" s="256"/>
      <c r="M37" s="256"/>
      <c r="N37" s="256"/>
      <c r="O37" s="257"/>
    </row>
    <row r="38" spans="3:15" ht="15.75" thickBot="1">
      <c r="C38" s="210">
        <v>1</v>
      </c>
      <c r="D38" s="211">
        <v>2</v>
      </c>
      <c r="E38" s="211">
        <v>3</v>
      </c>
      <c r="F38" s="211">
        <v>4</v>
      </c>
      <c r="G38" s="211">
        <v>5</v>
      </c>
      <c r="H38" s="211">
        <v>6</v>
      </c>
      <c r="I38" s="211">
        <v>7</v>
      </c>
      <c r="J38" s="211">
        <v>8</v>
      </c>
      <c r="K38" s="211">
        <v>9</v>
      </c>
      <c r="L38" s="211">
        <v>10</v>
      </c>
      <c r="M38" s="211">
        <v>11</v>
      </c>
      <c r="N38" s="212">
        <v>12</v>
      </c>
      <c r="O38" s="213" t="s">
        <v>210</v>
      </c>
    </row>
    <row r="39" spans="1:15" ht="15.75" thickBot="1">
      <c r="A39" s="258" t="s">
        <v>195</v>
      </c>
      <c r="B39" s="259"/>
      <c r="C39" s="285">
        <f>'FY 4 Worst'!B7</f>
        <v>862414.6282745108</v>
      </c>
      <c r="D39" s="285">
        <f>'FY 4 Worst'!C7</f>
        <v>905535.3596882365</v>
      </c>
      <c r="E39" s="285">
        <f>'FY 4 Worst'!D7</f>
        <v>950812.1276726484</v>
      </c>
      <c r="F39" s="285">
        <f>'FY 4 Worst'!E7</f>
        <v>998352.7340562808</v>
      </c>
      <c r="G39" s="285">
        <f>'FY 4 Worst'!F7</f>
        <v>1048270.3707590948</v>
      </c>
      <c r="H39" s="285">
        <f>'FY 4 Worst'!G7</f>
        <v>1100683.8892970495</v>
      </c>
      <c r="I39" s="285">
        <f>'FY 4 Worst'!H7</f>
        <v>1155718.083761902</v>
      </c>
      <c r="J39" s="285">
        <f>'FY 4 Worst'!I7</f>
        <v>1213503.9879499972</v>
      </c>
      <c r="K39" s="285">
        <f>'FY 4 Worst'!J7</f>
        <v>1274179.187347497</v>
      </c>
      <c r="L39" s="285">
        <f>'FY 4 Worst'!K7</f>
        <v>1337888.146714872</v>
      </c>
      <c r="M39" s="285">
        <f>'FY 4 Worst'!L7</f>
        <v>1404782.5540506155</v>
      </c>
      <c r="N39" s="285">
        <f>'FY 4 Worst'!M7</f>
        <v>1475021.6817531462</v>
      </c>
      <c r="O39" s="286">
        <f>SUM(C39:N39)</f>
        <v>13727162.751325851</v>
      </c>
    </row>
    <row r="40" spans="1:15" ht="15.75" thickBot="1">
      <c r="A40" s="260" t="s">
        <v>196</v>
      </c>
      <c r="B40" s="261"/>
      <c r="C40" s="285">
        <f>SUM('FY 4 Worst'!B9:B33)</f>
        <v>794647.1902843144</v>
      </c>
      <c r="D40" s="285">
        <f>SUM('FY 4 Worst'!C9:C33)</f>
        <v>825027.7055985302</v>
      </c>
      <c r="E40" s="285">
        <f>SUM('FY 4 Worst'!D9:D33)</f>
        <v>861587.1886784568</v>
      </c>
      <c r="F40" s="285">
        <f>SUM('FY 4 Worst'!E9:E33)</f>
        <v>895081.7068123796</v>
      </c>
      <c r="G40" s="285">
        <f>SUM('FY 4 Worst'!F9:F33)</f>
        <v>930250.9508529986</v>
      </c>
      <c r="H40" s="285">
        <f>SUM('FY 4 Worst'!G9:G33)</f>
        <v>971703.6570956486</v>
      </c>
      <c r="I40" s="285">
        <f>SUM('FY 4 Worst'!H9:H33)</f>
        <v>1010477.7486504309</v>
      </c>
      <c r="J40" s="285">
        <f>SUM('FY 4 Worst'!I9:I33)</f>
        <v>1255715.5447829526</v>
      </c>
      <c r="K40" s="285">
        <f>SUM('FY 4 Worst'!J9:J33)</f>
        <v>1098463.9807221</v>
      </c>
      <c r="L40" s="285">
        <f>SUM('FY 4 Worst'!K9:K33)</f>
        <v>1147874.838458205</v>
      </c>
      <c r="M40" s="285">
        <f>SUM('FY 4 Worst'!L9:L33)</f>
        <v>1195004.9890811155</v>
      </c>
      <c r="N40" s="285">
        <f>SUM('FY 4 Worst'!M9:M33)</f>
        <v>1249151.5892351712</v>
      </c>
      <c r="O40" s="287">
        <f>SUM(C40:N40)</f>
        <v>12234987.090252303</v>
      </c>
    </row>
    <row r="41" spans="1:15" ht="15.75" thickBot="1">
      <c r="A41" s="253" t="s">
        <v>190</v>
      </c>
      <c r="B41" s="254"/>
      <c r="C41" s="288">
        <f>O32+C39-C40</f>
        <v>2250317.533913129</v>
      </c>
      <c r="D41" s="288">
        <f aca="true" t="shared" si="4" ref="D41:N41">C41+D39-D40</f>
        <v>2330825.188002835</v>
      </c>
      <c r="E41" s="288">
        <f t="shared" si="4"/>
        <v>2420050.1269970266</v>
      </c>
      <c r="F41" s="288">
        <f t="shared" si="4"/>
        <v>2523321.1542409277</v>
      </c>
      <c r="G41" s="288">
        <f t="shared" si="4"/>
        <v>2641340.574147024</v>
      </c>
      <c r="H41" s="288">
        <f t="shared" si="4"/>
        <v>2770320.8063484253</v>
      </c>
      <c r="I41" s="288">
        <f t="shared" si="4"/>
        <v>2915561.141459896</v>
      </c>
      <c r="J41" s="288">
        <f t="shared" si="4"/>
        <v>2873349.584626941</v>
      </c>
      <c r="K41" s="288">
        <f t="shared" si="4"/>
        <v>3049064.791252338</v>
      </c>
      <c r="L41" s="288">
        <f t="shared" si="4"/>
        <v>3239078.099509005</v>
      </c>
      <c r="M41" s="288">
        <f t="shared" si="4"/>
        <v>3448855.664478505</v>
      </c>
      <c r="N41" s="288">
        <f t="shared" si="4"/>
        <v>3674725.7569964803</v>
      </c>
      <c r="O41" s="289">
        <f>N41</f>
        <v>3674725.7569964803</v>
      </c>
    </row>
    <row r="42" spans="1:15" ht="15">
      <c r="A42" s="108"/>
      <c r="B42" s="109"/>
      <c r="C42" s="110"/>
      <c r="D42" s="110"/>
      <c r="E42" s="110"/>
      <c r="F42" s="110"/>
      <c r="G42" s="110"/>
      <c r="H42" s="110"/>
      <c r="I42" s="110"/>
      <c r="J42" s="110"/>
      <c r="K42" s="110"/>
      <c r="L42" s="110"/>
      <c r="M42" s="110"/>
      <c r="N42" s="110"/>
      <c r="O42" s="111"/>
    </row>
    <row r="43" spans="1:15" ht="15">
      <c r="A43" s="108"/>
      <c r="B43" s="109"/>
      <c r="C43" s="110"/>
      <c r="D43" s="110"/>
      <c r="E43" s="110"/>
      <c r="F43" s="110"/>
      <c r="G43" s="110"/>
      <c r="H43" s="110"/>
      <c r="I43" s="110"/>
      <c r="J43" s="110"/>
      <c r="K43" s="110"/>
      <c r="L43" s="110"/>
      <c r="M43" s="110"/>
      <c r="N43" s="110"/>
      <c r="O43" s="111"/>
    </row>
    <row r="45" ht="15.75" thickBot="1"/>
    <row r="46" spans="3:15" ht="15.75" thickBot="1">
      <c r="C46" s="255" t="s">
        <v>207</v>
      </c>
      <c r="D46" s="256"/>
      <c r="E46" s="256"/>
      <c r="F46" s="256"/>
      <c r="G46" s="256"/>
      <c r="H46" s="256"/>
      <c r="I46" s="256"/>
      <c r="J46" s="256"/>
      <c r="K46" s="256"/>
      <c r="L46" s="256"/>
      <c r="M46" s="256"/>
      <c r="N46" s="256"/>
      <c r="O46" s="257"/>
    </row>
    <row r="47" spans="3:15" ht="15.75" thickBot="1">
      <c r="C47" s="210">
        <v>1</v>
      </c>
      <c r="D47" s="211">
        <v>2</v>
      </c>
      <c r="E47" s="211">
        <v>3</v>
      </c>
      <c r="F47" s="211">
        <v>4</v>
      </c>
      <c r="G47" s="211">
        <v>5</v>
      </c>
      <c r="H47" s="211">
        <v>6</v>
      </c>
      <c r="I47" s="211">
        <v>7</v>
      </c>
      <c r="J47" s="211">
        <v>8</v>
      </c>
      <c r="K47" s="211">
        <v>9</v>
      </c>
      <c r="L47" s="211">
        <v>10</v>
      </c>
      <c r="M47" s="211">
        <v>11</v>
      </c>
      <c r="N47" s="212">
        <v>12</v>
      </c>
      <c r="O47" s="213" t="s">
        <v>211</v>
      </c>
    </row>
    <row r="48" spans="1:15" ht="15.75" thickBot="1">
      <c r="A48" s="258" t="s">
        <v>195</v>
      </c>
      <c r="B48" s="259"/>
      <c r="C48" s="30">
        <f>'FY 5 Worst'!B7</f>
        <v>1519272.3322057407</v>
      </c>
      <c r="D48" s="30">
        <f>'FY 5 Worst'!C7</f>
        <v>1564850.5021719132</v>
      </c>
      <c r="E48" s="30">
        <f>'FY 5 Worst'!D7</f>
        <v>1611796.0172370705</v>
      </c>
      <c r="F48" s="30">
        <f>'FY 5 Worst'!E7</f>
        <v>1660149.8977541828</v>
      </c>
      <c r="G48" s="30">
        <f>'FY 5 Worst'!F7</f>
        <v>1709954.3946868083</v>
      </c>
      <c r="H48" s="30">
        <f>'FY 5 Worst'!G7</f>
        <v>1761253.0265274125</v>
      </c>
      <c r="I48" s="30">
        <f>'FY 5 Worst'!H7</f>
        <v>1814090.617323235</v>
      </c>
      <c r="J48" s="30">
        <f>'FY 5 Worst'!I7</f>
        <v>1868513.335842932</v>
      </c>
      <c r="K48" s="30">
        <f>'FY 5 Worst'!J7</f>
        <v>1924568.7359182201</v>
      </c>
      <c r="L48" s="30">
        <f>'FY 5 Worst'!K7</f>
        <v>1982305.7979957666</v>
      </c>
      <c r="M48" s="30">
        <f>'FY 5 Worst'!L7</f>
        <v>2041774.9719356399</v>
      </c>
      <c r="N48" s="30">
        <f>'FY 5 Worst'!M7</f>
        <v>2103028.221093709</v>
      </c>
      <c r="O48" s="112">
        <f>SUM(C48:N48)</f>
        <v>21561557.850692634</v>
      </c>
    </row>
    <row r="49" spans="1:15" ht="15.75" thickBot="1">
      <c r="A49" s="260" t="s">
        <v>196</v>
      </c>
      <c r="B49" s="261"/>
      <c r="C49" s="30">
        <f>SUM('FY 5 Worst'!B9:B33)</f>
        <v>1280328.1838722266</v>
      </c>
      <c r="D49" s="30">
        <f>SUM('FY 5 Worst'!C9:C33)</f>
        <v>1316965.0763483932</v>
      </c>
      <c r="E49" s="30">
        <f>SUM('FY 5 Worst'!D9:D33)</f>
        <v>1350040.325598845</v>
      </c>
      <c r="F49" s="30">
        <f>SUM('FY 5 Worst'!E9:E33)</f>
        <v>1384107.8323268106</v>
      </c>
      <c r="G49" s="30">
        <f>SUM('FY 5 Worst'!F9:F33)</f>
        <v>1623722.364256615</v>
      </c>
      <c r="H49" s="30">
        <f>SUM('FY 5 Worst'!G9:G33)</f>
        <v>1459864.5821443133</v>
      </c>
      <c r="I49" s="30">
        <f>SUM('FY 5 Worst'!H9:H33)</f>
        <v>1501616.0665686426</v>
      </c>
      <c r="J49" s="30">
        <f>SUM('FY 5 Worst'!I9:I33)</f>
        <v>1539959.345525702</v>
      </c>
      <c r="K49" s="30">
        <f>SUM('FY 5 Worst'!J9:J33)</f>
        <v>1584112.8648514734</v>
      </c>
      <c r="L49" s="30">
        <f>SUM('FY 5 Worst'!K9:K33)</f>
        <v>1624791.2494970171</v>
      </c>
      <c r="M49" s="30">
        <f>SUM('FY 5 Worst'!L9:L33)</f>
        <v>1671214.985681928</v>
      </c>
      <c r="N49" s="30">
        <f>SUM('FY 5 Worst'!M9:M33)</f>
        <v>1714370.683952386</v>
      </c>
      <c r="O49" s="105">
        <f>SUM(C49:N49)</f>
        <v>18051093.560624354</v>
      </c>
    </row>
    <row r="50" spans="1:15" ht="15.75" thickBot="1">
      <c r="A50" s="253" t="s">
        <v>190</v>
      </c>
      <c r="B50" s="254"/>
      <c r="C50" s="106">
        <f>O41+C48-C49</f>
        <v>3913669.905329995</v>
      </c>
      <c r="D50" s="106">
        <f aca="true" t="shared" si="5" ref="D50:N50">C50+D48-D49</f>
        <v>4161555.331153515</v>
      </c>
      <c r="E50" s="106">
        <f t="shared" si="5"/>
        <v>4423311.02279174</v>
      </c>
      <c r="F50" s="106">
        <f t="shared" si="5"/>
        <v>4699353.088219112</v>
      </c>
      <c r="G50" s="106">
        <f t="shared" si="5"/>
        <v>4785585.118649306</v>
      </c>
      <c r="H50" s="106">
        <f t="shared" si="5"/>
        <v>5086973.5630324045</v>
      </c>
      <c r="I50" s="106">
        <f t="shared" si="5"/>
        <v>5399448.113786996</v>
      </c>
      <c r="J50" s="106">
        <f t="shared" si="5"/>
        <v>5728002.104104226</v>
      </c>
      <c r="K50" s="106">
        <f t="shared" si="5"/>
        <v>6068457.975170974</v>
      </c>
      <c r="L50" s="106">
        <f t="shared" si="5"/>
        <v>6425972.523669723</v>
      </c>
      <c r="M50" s="106">
        <f t="shared" si="5"/>
        <v>6796532.509923435</v>
      </c>
      <c r="N50" s="106">
        <f t="shared" si="5"/>
        <v>7185190.047064759</v>
      </c>
      <c r="O50" s="107">
        <f>N50</f>
        <v>7185190.047064759</v>
      </c>
    </row>
    <row r="52" ht="18.75" customHeight="1"/>
    <row r="53" spans="1:15" ht="15">
      <c r="A53" s="247" t="s">
        <v>297</v>
      </c>
      <c r="B53" s="247"/>
      <c r="C53" s="247"/>
      <c r="D53" s="247"/>
      <c r="E53" s="247"/>
      <c r="F53" s="247"/>
      <c r="G53" s="247"/>
      <c r="H53" s="247"/>
      <c r="I53" s="247"/>
      <c r="J53" s="247"/>
      <c r="K53" s="247"/>
      <c r="L53" s="247"/>
      <c r="M53" s="247"/>
      <c r="N53" s="247"/>
      <c r="O53" s="247"/>
    </row>
    <row r="54" spans="1:15" ht="15">
      <c r="A54" s="247"/>
      <c r="B54" s="247"/>
      <c r="C54" s="247"/>
      <c r="D54" s="247"/>
      <c r="E54" s="247"/>
      <c r="F54" s="247"/>
      <c r="G54" s="247"/>
      <c r="H54" s="247"/>
      <c r="I54" s="247"/>
      <c r="J54" s="247"/>
      <c r="K54" s="247"/>
      <c r="L54" s="247"/>
      <c r="M54" s="247"/>
      <c r="N54" s="247"/>
      <c r="O54" s="247"/>
    </row>
    <row r="55" spans="1:15" ht="15">
      <c r="A55" s="247"/>
      <c r="B55" s="247"/>
      <c r="C55" s="247"/>
      <c r="D55" s="247"/>
      <c r="E55" s="247"/>
      <c r="F55" s="247"/>
      <c r="G55" s="247"/>
      <c r="H55" s="247"/>
      <c r="I55" s="247"/>
      <c r="J55" s="247"/>
      <c r="K55" s="247"/>
      <c r="L55" s="247"/>
      <c r="M55" s="247"/>
      <c r="N55" s="247"/>
      <c r="O55" s="247"/>
    </row>
    <row r="56" spans="1:15" ht="15">
      <c r="A56" s="247"/>
      <c r="B56" s="247"/>
      <c r="C56" s="247"/>
      <c r="D56" s="247"/>
      <c r="E56" s="247"/>
      <c r="F56" s="247"/>
      <c r="G56" s="247"/>
      <c r="H56" s="247"/>
      <c r="I56" s="247"/>
      <c r="J56" s="247"/>
      <c r="K56" s="247"/>
      <c r="L56" s="247"/>
      <c r="M56" s="247"/>
      <c r="N56" s="247"/>
      <c r="O56" s="247"/>
    </row>
    <row r="57" spans="1:15" ht="15">
      <c r="A57" s="247"/>
      <c r="B57" s="247"/>
      <c r="C57" s="247"/>
      <c r="D57" s="247"/>
      <c r="E57" s="247"/>
      <c r="F57" s="247"/>
      <c r="G57" s="247"/>
      <c r="H57" s="247"/>
      <c r="I57" s="247"/>
      <c r="J57" s="247"/>
      <c r="K57" s="247"/>
      <c r="L57" s="247"/>
      <c r="M57" s="247"/>
      <c r="N57" s="247"/>
      <c r="O57" s="247"/>
    </row>
    <row r="59" spans="2:7" ht="15">
      <c r="B59" s="248" t="s">
        <v>288</v>
      </c>
      <c r="C59" s="248"/>
      <c r="D59" s="248"/>
      <c r="E59" s="248"/>
      <c r="F59" s="248"/>
      <c r="G59" s="248"/>
    </row>
  </sheetData>
  <sheetProtection password="DC55" sheet="1" objects="1" scenarios="1" formatCells="0" formatColumns="0" formatRows="0" insertColumns="0" insertRows="0" insertHyperlinks="0" deleteColumns="0" deleteRows="0" selectLockedCells="1" sort="0"/>
  <mergeCells count="28">
    <mergeCell ref="B59:G59"/>
    <mergeCell ref="A48:B48"/>
    <mergeCell ref="A31:B31"/>
    <mergeCell ref="A32:B32"/>
    <mergeCell ref="A53:O57"/>
    <mergeCell ref="A49:B49"/>
    <mergeCell ref="A50:B50"/>
    <mergeCell ref="C37:O37"/>
    <mergeCell ref="A39:B39"/>
    <mergeCell ref="A40:B40"/>
    <mergeCell ref="A41:B41"/>
    <mergeCell ref="C46:O46"/>
    <mergeCell ref="A23:B23"/>
    <mergeCell ref="C28:O28"/>
    <mergeCell ref="A29:B29"/>
    <mergeCell ref="A30:B30"/>
    <mergeCell ref="A21:B21"/>
    <mergeCell ref="A22:B22"/>
    <mergeCell ref="A5:B5"/>
    <mergeCell ref="C10:O10"/>
    <mergeCell ref="A12:B12"/>
    <mergeCell ref="A13:B13"/>
    <mergeCell ref="C1:O1"/>
    <mergeCell ref="A2:B2"/>
    <mergeCell ref="A3:B3"/>
    <mergeCell ref="A4:B4"/>
    <mergeCell ref="A14:B14"/>
    <mergeCell ref="C19:O19"/>
  </mergeCells>
  <printOptions horizontalCentered="1"/>
  <pageMargins left="0.7" right="0.7" top="0.75" bottom="0.75" header="0.3" footer="0.3"/>
  <pageSetup fitToHeight="1" fitToWidth="1" horizontalDpi="600" verticalDpi="600" orientation="landscape" scale="51" r:id="rId1"/>
  <headerFooter>
    <oddHeader>&amp;C&amp;"-,Bold"&amp;36&amp;UProject Victories Project Selection Tool</oddHeader>
    <oddFooter>&amp;CCopyright The Volpe Consortium, Inc.</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35"/>
  <sheetViews>
    <sheetView view="pageLayout" workbookViewId="0" topLeftCell="A8">
      <selection activeCell="B10" sqref="B10"/>
    </sheetView>
  </sheetViews>
  <sheetFormatPr defaultColWidth="9.140625" defaultRowHeight="15"/>
  <cols>
    <col min="1" max="1" width="36.140625" style="0" customWidth="1"/>
    <col min="2" max="3" width="14.7109375" style="0" bestFit="1" customWidth="1"/>
    <col min="4" max="4" width="14.28125" style="0" bestFit="1" customWidth="1"/>
    <col min="5" max="7" width="15.28125" style="0" bestFit="1" customWidth="1"/>
    <col min="8" max="8" width="15.28125" style="0" customWidth="1"/>
    <col min="9" max="9" width="20.7109375" style="0" customWidth="1"/>
    <col min="10" max="10" width="11.00390625" style="0" bestFit="1" customWidth="1"/>
  </cols>
  <sheetData>
    <row r="1" spans="1:8" ht="15" hidden="1">
      <c r="A1" s="290"/>
      <c r="B1" s="231" t="s">
        <v>15</v>
      </c>
      <c r="C1" s="231" t="s">
        <v>35</v>
      </c>
      <c r="D1" s="231" t="s">
        <v>54</v>
      </c>
      <c r="E1" s="291"/>
      <c r="F1" s="291"/>
      <c r="G1" s="291"/>
      <c r="H1" s="147"/>
    </row>
    <row r="2" spans="1:8" ht="15" hidden="1">
      <c r="A2" s="292" t="str">
        <f>'FY 0 Best'!A2</f>
        <v>Sale Per Product</v>
      </c>
      <c r="B2" s="292">
        <f>'FY 0 Best'!B2</f>
        <v>11.504463131543012</v>
      </c>
      <c r="C2" s="292">
        <f>'FY 0 Best'!C2</f>
        <v>4.995536868456988</v>
      </c>
      <c r="D2" s="293">
        <f>B2+C2</f>
        <v>16.5</v>
      </c>
      <c r="E2" s="294"/>
      <c r="F2" s="294"/>
      <c r="G2" s="294"/>
      <c r="H2" s="147"/>
    </row>
    <row r="3" spans="1:8" ht="15" hidden="1">
      <c r="A3" s="292" t="str">
        <f>'FY 0 Best'!A3</f>
        <v>Sale Per Product Bundle</v>
      </c>
      <c r="B3" s="292">
        <f>'FY 0 Best'!B3</f>
        <v>138</v>
      </c>
      <c r="C3" s="292">
        <f>'FY 0 Best'!C3</f>
        <v>60</v>
      </c>
      <c r="D3" s="293">
        <f>SUM(B3:C3)</f>
        <v>198</v>
      </c>
      <c r="E3" s="294"/>
      <c r="F3" s="294"/>
      <c r="G3" s="294"/>
      <c r="H3" s="147"/>
    </row>
    <row r="4" spans="1:8" ht="15" hidden="1">
      <c r="A4" s="292" t="str">
        <f>'FY 0 Best'!A4</f>
        <v>Production Lines ( if applicable)</v>
      </c>
      <c r="B4" s="292">
        <f>'FY 0 Best'!M4</f>
        <v>0</v>
      </c>
      <c r="C4" s="292">
        <f>'FY 1 Best'!M4</f>
        <v>1</v>
      </c>
      <c r="D4" s="292">
        <f>'FY 2 Best'!M4</f>
        <v>3</v>
      </c>
      <c r="E4" s="292">
        <f>'FY 3 Best'!M4</f>
        <v>5</v>
      </c>
      <c r="F4" s="292">
        <f>'FY 4 Best'!M4</f>
        <v>9</v>
      </c>
      <c r="G4" s="292">
        <f>'FY 5 Best'!M4</f>
        <v>12</v>
      </c>
      <c r="H4" s="146"/>
    </row>
    <row r="5" spans="1:8" ht="15" hidden="1">
      <c r="A5" s="292" t="str">
        <f>'FY 0 Best'!A5</f>
        <v>Product Volume</v>
      </c>
      <c r="B5" s="292">
        <f>'FY 0 Best'!N5</f>
        <v>0</v>
      </c>
      <c r="C5" s="292">
        <f>'FY 1 Best'!N5</f>
        <v>9243.588899999999</v>
      </c>
      <c r="D5" s="292">
        <f>'FY 2 Best'!N5</f>
        <v>45420.0730945816</v>
      </c>
      <c r="E5" s="292">
        <f>'FY 3 Best'!N5</f>
        <v>101280.68363815409</v>
      </c>
      <c r="F5" s="292">
        <f>'FY 4 Best'!N5</f>
        <v>181885.55641542506</v>
      </c>
      <c r="G5" s="292">
        <f>'FY 5 Best'!N5</f>
        <v>285691.6624287726</v>
      </c>
      <c r="H5" s="148"/>
    </row>
    <row r="6" spans="1:8" ht="15" hidden="1">
      <c r="A6" s="295" t="s">
        <v>68</v>
      </c>
      <c r="B6" s="296" t="s">
        <v>75</v>
      </c>
      <c r="C6" s="296" t="s">
        <v>69</v>
      </c>
      <c r="D6" s="296" t="s">
        <v>73</v>
      </c>
      <c r="E6" s="296" t="s">
        <v>74</v>
      </c>
      <c r="F6" s="296" t="s">
        <v>76</v>
      </c>
      <c r="G6" s="296" t="s">
        <v>77</v>
      </c>
      <c r="H6" s="149"/>
    </row>
    <row r="7" spans="1:8" ht="15" hidden="1">
      <c r="A7" s="295" t="s">
        <v>55</v>
      </c>
      <c r="B7" s="292">
        <f>'FY 0 Best'!N7</f>
        <v>0</v>
      </c>
      <c r="C7" s="292">
        <f>'FY 1 Best'!N7</f>
        <v>1830230.6021999996</v>
      </c>
      <c r="D7" s="292">
        <f>'FY 2 Best'!N7</f>
        <v>8993174.472727157</v>
      </c>
      <c r="E7" s="292">
        <f>'FY 3 Best'!N7</f>
        <v>20053575.36035451</v>
      </c>
      <c r="F7" s="292">
        <f>'FY 4 Best'!N7</f>
        <v>36013340.17025416</v>
      </c>
      <c r="G7" s="292">
        <f>'FY 5 Best'!N7</f>
        <v>56566949.16089698</v>
      </c>
      <c r="H7" s="150"/>
    </row>
    <row r="10" spans="2:9" ht="14.25" customHeight="1">
      <c r="B10" s="223" t="s">
        <v>230</v>
      </c>
      <c r="C10" s="223" t="s">
        <v>229</v>
      </c>
      <c r="D10" s="223" t="s">
        <v>231</v>
      </c>
      <c r="E10" s="223" t="s">
        <v>232</v>
      </c>
      <c r="F10" s="223" t="s">
        <v>233</v>
      </c>
      <c r="G10" s="223" t="s">
        <v>234</v>
      </c>
      <c r="H10" s="147"/>
      <c r="I10" s="152"/>
    </row>
    <row r="11" spans="1:9" ht="15">
      <c r="A11" s="215" t="s">
        <v>217</v>
      </c>
      <c r="H11" s="102"/>
      <c r="I11" s="102"/>
    </row>
    <row r="12" spans="1:9" ht="15">
      <c r="A12" s="216" t="s">
        <v>218</v>
      </c>
      <c r="B12" s="140">
        <f>'6 Year Cash Flow (Best)'!O5</f>
        <v>3505000</v>
      </c>
      <c r="C12" s="140">
        <f>'6 Year Cash Flow (Best)'!O14</f>
        <v>2776556.472650001</v>
      </c>
      <c r="D12" s="140">
        <f>'6 Year Cash Flow (Best)'!O23</f>
        <v>3092403.1986830253</v>
      </c>
      <c r="E12" s="140">
        <f>'6 Year Cash Flow (Best)'!O32</f>
        <v>6007641.97551504</v>
      </c>
      <c r="F12" s="140">
        <f>'6 Year Cash Flow (Best)'!O41</f>
        <v>12652879.77802512</v>
      </c>
      <c r="G12" s="140">
        <f>'6 Year Cash Flow (Best)'!O50</f>
        <v>25038731.271322697</v>
      </c>
      <c r="H12" s="151"/>
      <c r="I12" s="151"/>
    </row>
    <row r="13" spans="1:9" ht="15">
      <c r="A13" s="180" t="s">
        <v>246</v>
      </c>
      <c r="B13" s="140">
        <v>0</v>
      </c>
      <c r="C13" s="140">
        <f>C7*(30/360)</f>
        <v>152519.21684999997</v>
      </c>
      <c r="D13" s="140">
        <f>D7*(30/360)</f>
        <v>749431.2060605964</v>
      </c>
      <c r="E13" s="140">
        <f>E7*(30/360)</f>
        <v>1671131.2800295423</v>
      </c>
      <c r="F13" s="140">
        <f>F7*(30/360)</f>
        <v>3001111.6808545133</v>
      </c>
      <c r="G13" s="140">
        <f>G7*(30/360)</f>
        <v>4713912.430074748</v>
      </c>
      <c r="H13" s="151"/>
      <c r="I13" s="151"/>
    </row>
    <row r="14" spans="1:9" ht="15">
      <c r="A14" s="217" t="s">
        <v>219</v>
      </c>
      <c r="B14" s="141">
        <v>0</v>
      </c>
      <c r="C14" s="141">
        <f>($B$3*C5)*2/12</f>
        <v>212602.54469999997</v>
      </c>
      <c r="D14" s="141">
        <f>($B$3*D5)*2/12</f>
        <v>1044661.6811753769</v>
      </c>
      <c r="E14" s="141">
        <f>($B$3*E5)*2/12</f>
        <v>2329455.7236775444</v>
      </c>
      <c r="F14" s="141">
        <f>($B$3*F5)*2/12</f>
        <v>4183367.7975547765</v>
      </c>
      <c r="G14" s="141">
        <f>($B$3*G5)*2/12</f>
        <v>6570908.23586177</v>
      </c>
      <c r="H14" s="151"/>
      <c r="I14" s="151"/>
    </row>
    <row r="15" spans="1:9" ht="15">
      <c r="A15" s="216"/>
      <c r="B15" s="140"/>
      <c r="C15" s="140"/>
      <c r="D15" s="140"/>
      <c r="E15" s="140"/>
      <c r="F15" s="140"/>
      <c r="G15" s="140"/>
      <c r="H15" s="151"/>
      <c r="I15" s="151"/>
    </row>
    <row r="16" spans="1:9" ht="15">
      <c r="A16" s="218" t="s">
        <v>220</v>
      </c>
      <c r="B16" s="141">
        <f aca="true" t="shared" si="0" ref="B16:G16">SUM(B12:B15)</f>
        <v>3505000</v>
      </c>
      <c r="C16" s="141">
        <f t="shared" si="0"/>
        <v>3141678.2342000008</v>
      </c>
      <c r="D16" s="141">
        <f t="shared" si="0"/>
        <v>4886496.085918998</v>
      </c>
      <c r="E16" s="141">
        <f t="shared" si="0"/>
        <v>10008228.979222126</v>
      </c>
      <c r="F16" s="141">
        <f t="shared" si="0"/>
        <v>19837359.25643441</v>
      </c>
      <c r="G16" s="141">
        <f t="shared" si="0"/>
        <v>36323551.93725921</v>
      </c>
      <c r="H16" s="151"/>
      <c r="I16" s="151"/>
    </row>
    <row r="17" spans="1:9" ht="15">
      <c r="A17" s="216"/>
      <c r="B17" s="140"/>
      <c r="C17" s="140"/>
      <c r="D17" s="140"/>
      <c r="E17" s="140"/>
      <c r="F17" s="140"/>
      <c r="G17" s="140"/>
      <c r="H17" s="151"/>
      <c r="I17" s="151"/>
    </row>
    <row r="18" spans="1:9" ht="15">
      <c r="A18" s="216" t="s">
        <v>250</v>
      </c>
      <c r="B18" s="224">
        <v>200000</v>
      </c>
      <c r="C18" s="224">
        <v>200000</v>
      </c>
      <c r="D18" s="224">
        <v>800000</v>
      </c>
      <c r="E18" s="224">
        <v>1200000</v>
      </c>
      <c r="F18" s="224">
        <v>2000000</v>
      </c>
      <c r="G18" s="224">
        <v>2400000</v>
      </c>
      <c r="H18" s="151"/>
      <c r="I18" s="151"/>
    </row>
    <row r="19" spans="1:9" ht="15">
      <c r="A19" s="216" t="s">
        <v>249</v>
      </c>
      <c r="B19" s="140">
        <f>'Timing Difference'!B35</f>
        <v>40000</v>
      </c>
      <c r="C19" s="140">
        <f>'Timing Difference'!C35</f>
        <v>120000</v>
      </c>
      <c r="D19" s="140">
        <f>'Timing Difference'!D35</f>
        <v>280000</v>
      </c>
      <c r="E19" s="140">
        <f>'Timing Difference'!E35</f>
        <v>520000</v>
      </c>
      <c r="F19" s="140">
        <f>'Timing Difference'!F35</f>
        <v>920000</v>
      </c>
      <c r="G19" s="140">
        <f>'Timing Difference'!G35</f>
        <v>1360000</v>
      </c>
      <c r="H19" s="151"/>
      <c r="I19" s="151"/>
    </row>
    <row r="20" spans="1:9" ht="15.75" thickBot="1">
      <c r="A20" s="218" t="s">
        <v>221</v>
      </c>
      <c r="B20" s="142">
        <f aca="true" t="shared" si="1" ref="B20:G20">SUM(B16:B18)-B19</f>
        <v>3665000</v>
      </c>
      <c r="C20" s="142">
        <f t="shared" si="1"/>
        <v>3221678.2342000008</v>
      </c>
      <c r="D20" s="142">
        <f t="shared" si="1"/>
        <v>5406496.085918998</v>
      </c>
      <c r="E20" s="142">
        <f t="shared" si="1"/>
        <v>10688228.979222126</v>
      </c>
      <c r="F20" s="142">
        <f t="shared" si="1"/>
        <v>20917359.25643441</v>
      </c>
      <c r="G20" s="142">
        <f t="shared" si="1"/>
        <v>37363551.93725921</v>
      </c>
      <c r="H20" s="151"/>
      <c r="I20" s="151"/>
    </row>
    <row r="21" spans="1:9" ht="15.75" thickTop="1">
      <c r="A21" s="216"/>
      <c r="B21" s="140"/>
      <c r="C21" s="140"/>
      <c r="D21" s="140"/>
      <c r="E21" s="140"/>
      <c r="F21" s="140"/>
      <c r="G21" s="140"/>
      <c r="H21" s="151"/>
      <c r="I21" s="151"/>
    </row>
    <row r="22" spans="1:9" ht="15">
      <c r="A22" s="216"/>
      <c r="B22" s="140"/>
      <c r="C22" s="140"/>
      <c r="D22" s="140"/>
      <c r="E22" s="140"/>
      <c r="F22" s="140"/>
      <c r="G22" s="140"/>
      <c r="H22" s="151"/>
      <c r="I22" s="151"/>
    </row>
    <row r="23" spans="1:9" ht="15">
      <c r="A23" s="215" t="s">
        <v>222</v>
      </c>
      <c r="B23" s="140"/>
      <c r="C23" s="140"/>
      <c r="D23" s="140"/>
      <c r="E23" s="140"/>
      <c r="F23" s="140"/>
      <c r="G23" s="140"/>
      <c r="H23" s="151"/>
      <c r="I23" s="151"/>
    </row>
    <row r="24" spans="1:9" ht="15">
      <c r="A24" s="216" t="s">
        <v>223</v>
      </c>
      <c r="B24" s="224">
        <v>0</v>
      </c>
      <c r="C24" s="224">
        <v>365122</v>
      </c>
      <c r="D24" s="224">
        <v>1794093</v>
      </c>
      <c r="E24" s="224">
        <v>4000587</v>
      </c>
      <c r="F24" s="224">
        <v>7184479</v>
      </c>
      <c r="G24" s="224">
        <v>11284821</v>
      </c>
      <c r="H24" s="151"/>
      <c r="I24" s="151"/>
    </row>
    <row r="25" spans="1:9" ht="15">
      <c r="A25" s="216"/>
      <c r="B25" s="140"/>
      <c r="C25" s="140"/>
      <c r="D25" s="140"/>
      <c r="E25" s="140"/>
      <c r="F25" s="140"/>
      <c r="G25" s="140"/>
      <c r="H25" s="151"/>
      <c r="I25" s="151"/>
    </row>
    <row r="26" spans="1:9" ht="15">
      <c r="A26" s="216" t="s">
        <v>227</v>
      </c>
      <c r="B26" s="141">
        <f aca="true" t="shared" si="2" ref="B26:G26">SUM(B24:B25)</f>
        <v>0</v>
      </c>
      <c r="C26" s="141">
        <f t="shared" si="2"/>
        <v>365122</v>
      </c>
      <c r="D26" s="141">
        <f t="shared" si="2"/>
        <v>1794093</v>
      </c>
      <c r="E26" s="141">
        <f t="shared" si="2"/>
        <v>4000587</v>
      </c>
      <c r="F26" s="141">
        <f t="shared" si="2"/>
        <v>7184479</v>
      </c>
      <c r="G26" s="141">
        <f t="shared" si="2"/>
        <v>11284821</v>
      </c>
      <c r="H26" s="151"/>
      <c r="I26" s="151"/>
    </row>
    <row r="27" spans="1:9" ht="15">
      <c r="A27" s="216"/>
      <c r="B27" s="140"/>
      <c r="C27" s="140"/>
      <c r="D27" s="140"/>
      <c r="E27" s="140"/>
      <c r="F27" s="140"/>
      <c r="G27" s="140"/>
      <c r="H27" s="151"/>
      <c r="I27" s="151"/>
    </row>
    <row r="28" spans="1:9" ht="15">
      <c r="A28" s="219" t="s">
        <v>224</v>
      </c>
      <c r="B28" s="140"/>
      <c r="C28" s="140"/>
      <c r="D28" s="140"/>
      <c r="E28" s="140"/>
      <c r="F28" s="140"/>
      <c r="G28" s="140"/>
      <c r="H28" s="151"/>
      <c r="I28" s="151"/>
    </row>
    <row r="29" spans="1:9" ht="15">
      <c r="A29" s="220" t="s">
        <v>248</v>
      </c>
      <c r="B29" s="228">
        <v>4000000</v>
      </c>
      <c r="C29" s="228">
        <v>4000000</v>
      </c>
      <c r="D29" s="228">
        <v>4000000</v>
      </c>
      <c r="E29" s="228">
        <v>4000000</v>
      </c>
      <c r="F29" s="228">
        <v>4000000</v>
      </c>
      <c r="G29" s="228">
        <v>4000000</v>
      </c>
      <c r="H29" s="151"/>
      <c r="I29" s="151"/>
    </row>
    <row r="30" spans="1:9" ht="15">
      <c r="A30" s="221" t="s">
        <v>228</v>
      </c>
      <c r="B30" s="225">
        <f>'Income Stmt - 6 Yr. Best '!B35</f>
        <v>-335000</v>
      </c>
      <c r="C30" s="225">
        <f>'Income Stmt - 6 Yr. Best '!C35+B30</f>
        <v>-943443.5273500001</v>
      </c>
      <c r="D30" s="225">
        <f>'Income Stmt - 6 Yr. Best '!D35+C30</f>
        <v>-387596.80131697585</v>
      </c>
      <c r="E30" s="225">
        <f>'Income Stmt - 6 Yr. Best '!E35+D30</f>
        <v>2687641.9755150406</v>
      </c>
      <c r="F30" s="225">
        <f>'Income Stmt - 6 Yr. Best '!F35+E30</f>
        <v>9732879.77802512</v>
      </c>
      <c r="G30" s="225">
        <f>'Income Stmt - 6 Yr. Best '!G35+F30</f>
        <v>22158731.2713227</v>
      </c>
      <c r="H30" s="151"/>
      <c r="I30" s="151"/>
    </row>
    <row r="31" spans="1:9" ht="15">
      <c r="A31" s="221" t="s">
        <v>225</v>
      </c>
      <c r="B31" s="226">
        <f aca="true" t="shared" si="3" ref="B31:G31">SUM(B29:B30)</f>
        <v>3665000</v>
      </c>
      <c r="C31" s="226">
        <f t="shared" si="3"/>
        <v>3056556.47265</v>
      </c>
      <c r="D31" s="226">
        <f t="shared" si="3"/>
        <v>3612403.1986830244</v>
      </c>
      <c r="E31" s="226">
        <f t="shared" si="3"/>
        <v>6687641.975515041</v>
      </c>
      <c r="F31" s="226">
        <f t="shared" si="3"/>
        <v>13732879.77802512</v>
      </c>
      <c r="G31" s="226">
        <f t="shared" si="3"/>
        <v>26158731.2713227</v>
      </c>
      <c r="H31" s="151"/>
      <c r="I31" s="151"/>
    </row>
    <row r="32" spans="1:9" ht="15.75" thickBot="1">
      <c r="A32" s="222" t="s">
        <v>226</v>
      </c>
      <c r="B32" s="227">
        <f aca="true" t="shared" si="4" ref="B32:G32">B24+B31</f>
        <v>3665000</v>
      </c>
      <c r="C32" s="227">
        <f t="shared" si="4"/>
        <v>3421678.47265</v>
      </c>
      <c r="D32" s="227">
        <f t="shared" si="4"/>
        <v>5406496.198683024</v>
      </c>
      <c r="E32" s="227">
        <f t="shared" si="4"/>
        <v>10688228.975515042</v>
      </c>
      <c r="F32" s="227">
        <f t="shared" si="4"/>
        <v>20917358.77802512</v>
      </c>
      <c r="G32" s="227">
        <f t="shared" si="4"/>
        <v>37443552.2713227</v>
      </c>
      <c r="H32" s="151"/>
      <c r="I32" s="151"/>
    </row>
    <row r="33" ht="15.75" thickTop="1">
      <c r="I33" s="102"/>
    </row>
    <row r="35" spans="2:7" ht="15">
      <c r="B35" s="248" t="s">
        <v>288</v>
      </c>
      <c r="C35" s="248"/>
      <c r="D35" s="248"/>
      <c r="E35" s="248"/>
      <c r="F35" s="248"/>
      <c r="G35" s="248"/>
    </row>
  </sheetData>
  <sheetProtection password="DC55" sheet="1" objects="1" scenarios="1" formatCells="0" formatColumns="0" formatRows="0" insertColumns="0" insertRows="0" insertHyperlinks="0" deleteColumns="0" deleteRows="0" selectLockedCells="1" sort="0"/>
  <mergeCells count="1">
    <mergeCell ref="B35:G35"/>
  </mergeCells>
  <printOptions/>
  <pageMargins left="0.75" right="0.75" top="1" bottom="1" header="0.5" footer="0.5"/>
  <pageSetup fitToHeight="1" fitToWidth="1" horizontalDpi="600" verticalDpi="600" orientation="landscape" scale="96" r:id="rId3"/>
  <headerFooter alignWithMargins="0">
    <oddHeader>&amp;C&amp;"-,Bold"&amp;36&amp;UProject Victories Project Selection Tool</oddHeader>
    <oddFooter>&amp;CCopyright The Volpe Consortium, Inc.</oddFooter>
  </headerFooter>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I36"/>
  <sheetViews>
    <sheetView view="pageLayout" workbookViewId="0" topLeftCell="A8">
      <selection activeCell="A27" sqref="A27"/>
    </sheetView>
  </sheetViews>
  <sheetFormatPr defaultColWidth="9.140625" defaultRowHeight="15"/>
  <cols>
    <col min="1" max="1" width="36.140625" style="0" customWidth="1"/>
    <col min="2" max="3" width="14.7109375" style="0" bestFit="1" customWidth="1"/>
    <col min="4" max="4" width="14.28125" style="0" bestFit="1" customWidth="1"/>
    <col min="5" max="8" width="15.28125" style="0" bestFit="1" customWidth="1"/>
    <col min="9" max="9" width="20.7109375" style="0" customWidth="1"/>
    <col min="10" max="10" width="11.00390625" style="0" bestFit="1" customWidth="1"/>
  </cols>
  <sheetData>
    <row r="1" spans="1:8" ht="15" hidden="1">
      <c r="A1" s="57"/>
      <c r="B1" s="101" t="s">
        <v>15</v>
      </c>
      <c r="C1" s="101" t="s">
        <v>35</v>
      </c>
      <c r="D1" s="101" t="s">
        <v>54</v>
      </c>
      <c r="E1" s="125"/>
      <c r="F1" s="125"/>
      <c r="G1" s="74"/>
      <c r="H1" s="147"/>
    </row>
    <row r="2" spans="1:8" ht="15" hidden="1">
      <c r="A2" s="31" t="str">
        <f>'FY 0 Most Likely'!A2</f>
        <v>Sale Per Product</v>
      </c>
      <c r="B2" s="31">
        <f>'FY 0 Most Likely'!B2</f>
        <v>11.504463131543012</v>
      </c>
      <c r="C2" s="31">
        <f>'FY 0 Most Likely'!C2</f>
        <v>4.995536868456988</v>
      </c>
      <c r="D2" s="122">
        <f>B2+C2</f>
        <v>16.5</v>
      </c>
      <c r="E2" s="74"/>
      <c r="F2" s="74"/>
      <c r="G2" s="74"/>
      <c r="H2" s="147"/>
    </row>
    <row r="3" spans="1:8" ht="15" hidden="1">
      <c r="A3" s="31" t="str">
        <f>'FY 0 Most Likely'!A3</f>
        <v>Sale Per Product Bundle</v>
      </c>
      <c r="B3" s="31">
        <f>'FY 0 Most Likely'!B3</f>
        <v>138</v>
      </c>
      <c r="C3" s="31">
        <f>'FY 0 Most Likely'!C3</f>
        <v>60</v>
      </c>
      <c r="D3" s="122">
        <f>SUM(B3:C3)</f>
        <v>198</v>
      </c>
      <c r="E3" s="74"/>
      <c r="F3" s="74"/>
      <c r="G3" s="74"/>
      <c r="H3" s="147"/>
    </row>
    <row r="4" spans="1:8" ht="15" hidden="1">
      <c r="A4" s="31" t="str">
        <f>'FY 0 Most Likely'!A4</f>
        <v>Production Lines ( if applicable)</v>
      </c>
      <c r="B4" s="31">
        <f>'FY 0 Most Likely'!M4</f>
        <v>0</v>
      </c>
      <c r="C4" s="31">
        <f>'FY 1 Most Likely'!M4</f>
        <v>1</v>
      </c>
      <c r="D4" s="31">
        <f>'FY 2 Most Likely'!M4</f>
        <v>2</v>
      </c>
      <c r="E4" s="31">
        <f>'FY 3 Most Likely'!M4</f>
        <v>3</v>
      </c>
      <c r="F4" s="31">
        <f>'FY 4 Most Likely'!M4</f>
        <v>6</v>
      </c>
      <c r="G4" s="31">
        <f>'FY 5 Most Likely'!M4</f>
        <v>8</v>
      </c>
      <c r="H4" s="150"/>
    </row>
    <row r="5" spans="1:8" ht="15" hidden="1">
      <c r="A5" s="31" t="str">
        <f>'FY 0 Most Likely'!A5</f>
        <v>Product Volume</v>
      </c>
      <c r="B5" s="31">
        <f>'FY 0 Most Likely'!N5</f>
        <v>0</v>
      </c>
      <c r="C5" s="31">
        <f>'FY 1 Most Likely'!N5</f>
        <v>4694.7</v>
      </c>
      <c r="D5" s="31">
        <f>'FY 2 Most Likely'!N5</f>
        <v>28620.083865520857</v>
      </c>
      <c r="E5" s="31">
        <f>'FY 3 Most Likely'!N5</f>
        <v>63818.95629373289</v>
      </c>
      <c r="F5" s="31">
        <f>'FY 4 Most Likely'!N5</f>
        <v>114609.67638023001</v>
      </c>
      <c r="G5" s="31">
        <f>'FY 5 Most Likely'!N5</f>
        <v>180019.95112083972</v>
      </c>
      <c r="H5" s="150"/>
    </row>
    <row r="6" spans="1:8" ht="15" hidden="1">
      <c r="A6" s="73" t="s">
        <v>68</v>
      </c>
      <c r="B6" s="14" t="s">
        <v>75</v>
      </c>
      <c r="C6" s="14" t="s">
        <v>69</v>
      </c>
      <c r="D6" s="14" t="s">
        <v>73</v>
      </c>
      <c r="E6" s="14" t="s">
        <v>74</v>
      </c>
      <c r="F6" s="14" t="s">
        <v>76</v>
      </c>
      <c r="G6" s="14" t="s">
        <v>77</v>
      </c>
      <c r="H6" s="297"/>
    </row>
    <row r="7" spans="1:8" ht="15" hidden="1">
      <c r="A7" s="295" t="s">
        <v>55</v>
      </c>
      <c r="B7" s="31">
        <f>'FY 0 Most Likely'!N7</f>
        <v>0</v>
      </c>
      <c r="C7" s="31">
        <f>'FY 1 Most Likely'!N7</f>
        <v>929550.5999999999</v>
      </c>
      <c r="D7" s="31">
        <f>'FY 2 Most Likely'!N7</f>
        <v>5666776.605373129</v>
      </c>
      <c r="E7" s="31">
        <f>'FY 3 Most Likely'!N7</f>
        <v>12636153.346159112</v>
      </c>
      <c r="F7" s="31">
        <f>'FY 4 Most Likely'!N7</f>
        <v>22692715.923285548</v>
      </c>
      <c r="G7" s="31">
        <f>'FY 5 Most Likely'!N7</f>
        <v>35643950.32192627</v>
      </c>
      <c r="H7" s="150"/>
    </row>
    <row r="10" spans="2:9" ht="15">
      <c r="B10" s="223" t="s">
        <v>230</v>
      </c>
      <c r="C10" s="223" t="s">
        <v>229</v>
      </c>
      <c r="D10" s="223" t="s">
        <v>231</v>
      </c>
      <c r="E10" s="223" t="s">
        <v>232</v>
      </c>
      <c r="F10" s="223" t="s">
        <v>233</v>
      </c>
      <c r="G10" s="223" t="s">
        <v>234</v>
      </c>
      <c r="I10" s="229"/>
    </row>
    <row r="11" spans="1:9" ht="15">
      <c r="A11" s="215" t="s">
        <v>217</v>
      </c>
      <c r="I11" s="102"/>
    </row>
    <row r="12" spans="1:9" ht="15">
      <c r="A12" s="216" t="s">
        <v>218</v>
      </c>
      <c r="B12" s="140">
        <f>'6 Year Cash Flow (Most Likely)'!O5</f>
        <v>3705000</v>
      </c>
      <c r="C12" s="140">
        <f>'6 Year Cash Flow (Most Likely)'!O14</f>
        <v>2910716.3560000015</v>
      </c>
      <c r="D12" s="140">
        <f>'6 Year Cash Flow (Most Likely)'!O23</f>
        <v>2681668.248132971</v>
      </c>
      <c r="E12" s="140">
        <f>'6 Year Cash Flow (Most Likely)'!O32</f>
        <v>3697155.0473163463</v>
      </c>
      <c r="F12" s="140">
        <f>'6 Year Cash Flow (Most Likely)'!O41</f>
        <v>7296170.305559805</v>
      </c>
      <c r="G12" s="140">
        <f>'6 Year Cash Flow (Most Likely)'!O50</f>
        <v>14236587.839689352</v>
      </c>
      <c r="I12" s="151"/>
    </row>
    <row r="13" spans="1:9" ht="15">
      <c r="A13" s="180" t="s">
        <v>246</v>
      </c>
      <c r="B13" s="140">
        <v>0</v>
      </c>
      <c r="C13" s="140">
        <f>'Balance Sht.-6 Yr. Most Likely'!C7*(30/360)</f>
        <v>77462.54999999999</v>
      </c>
      <c r="D13" s="140">
        <f>'Balance Sht.-6 Yr. Most Likely'!D7*(30/360)</f>
        <v>472231.3837810941</v>
      </c>
      <c r="E13" s="140">
        <f>'Income Stmt 6 Yr. Most Likely'!E7*(30/360)</f>
        <v>1053012.7788465926</v>
      </c>
      <c r="F13" s="140">
        <f>'Balance Sht.-6 Yr. Most Likely'!F7*(30/360)</f>
        <v>1891059.6602737955</v>
      </c>
      <c r="G13" s="140">
        <f>'Income Stmt 6 Yr. Most Likely'!G7*(30/360)</f>
        <v>2970329.193493856</v>
      </c>
      <c r="I13" s="151"/>
    </row>
    <row r="14" spans="1:9" ht="15">
      <c r="A14" s="217" t="s">
        <v>219</v>
      </c>
      <c r="B14" s="141">
        <v>0</v>
      </c>
      <c r="C14" s="141">
        <f>(C5*$B$3)*2/12</f>
        <v>107978.09999999999</v>
      </c>
      <c r="D14" s="141">
        <f>(D5*$B$3)*2/12</f>
        <v>658261.9289069797</v>
      </c>
      <c r="E14" s="141">
        <f>(E5*$B$3)*2/12</f>
        <v>1467835.9947558565</v>
      </c>
      <c r="F14" s="141">
        <f>(F5*$B$3)*2/12</f>
        <v>2636022.5567452903</v>
      </c>
      <c r="G14" s="141">
        <f>(G5*$B$3)*2/12</f>
        <v>4140458.8757793135</v>
      </c>
      <c r="I14" s="151"/>
    </row>
    <row r="15" spans="1:9" ht="15">
      <c r="A15" s="216"/>
      <c r="B15" s="140"/>
      <c r="C15" s="140"/>
      <c r="D15" s="140"/>
      <c r="E15" s="140"/>
      <c r="F15" s="140"/>
      <c r="G15" s="140"/>
      <c r="I15" s="151"/>
    </row>
    <row r="16" spans="1:9" ht="15">
      <c r="A16" s="218" t="s">
        <v>220</v>
      </c>
      <c r="B16" s="141">
        <f aca="true" t="shared" si="0" ref="B16:G16">SUM(B12:B15)</f>
        <v>3705000</v>
      </c>
      <c r="C16" s="141">
        <f t="shared" si="0"/>
        <v>3096157.0060000014</v>
      </c>
      <c r="D16" s="141">
        <f t="shared" si="0"/>
        <v>3812161.560821045</v>
      </c>
      <c r="E16" s="141">
        <f t="shared" si="0"/>
        <v>6218003.820918796</v>
      </c>
      <c r="F16" s="141">
        <f t="shared" si="0"/>
        <v>11823252.522578891</v>
      </c>
      <c r="G16" s="141">
        <f t="shared" si="0"/>
        <v>21347375.90896252</v>
      </c>
      <c r="I16" s="151"/>
    </row>
    <row r="17" spans="1:9" ht="15">
      <c r="A17" s="216"/>
      <c r="B17" s="140"/>
      <c r="C17" s="140"/>
      <c r="D17" s="140"/>
      <c r="E17" s="140"/>
      <c r="F17" s="140"/>
      <c r="G17" s="140"/>
      <c r="I17" s="151"/>
    </row>
    <row r="18" spans="1:9" ht="15">
      <c r="A18" s="216" t="s">
        <v>250</v>
      </c>
      <c r="B18" s="224">
        <v>0</v>
      </c>
      <c r="C18" s="224">
        <v>200000</v>
      </c>
      <c r="D18" s="224">
        <v>400000</v>
      </c>
      <c r="E18" s="224">
        <v>800000</v>
      </c>
      <c r="F18" s="224">
        <v>1200000</v>
      </c>
      <c r="G18" s="224">
        <v>1600000</v>
      </c>
      <c r="I18" s="151"/>
    </row>
    <row r="19" spans="1:9" ht="15">
      <c r="A19" s="216" t="s">
        <v>249</v>
      </c>
      <c r="B19" s="140">
        <f>'Timing Difference'!B65</f>
        <v>0</v>
      </c>
      <c r="C19" s="140">
        <f>'Timing Difference'!C65</f>
        <v>40000</v>
      </c>
      <c r="D19" s="140">
        <f>'Timing Difference'!D65</f>
        <v>120000</v>
      </c>
      <c r="E19" s="140">
        <f>'Timing Difference'!E65</f>
        <v>280000</v>
      </c>
      <c r="F19" s="140">
        <f>'Timing Difference'!F65</f>
        <v>520000</v>
      </c>
      <c r="G19" s="140">
        <f>'Timing Difference'!G65</f>
        <v>840000</v>
      </c>
      <c r="I19" s="151"/>
    </row>
    <row r="20" spans="1:9" ht="15.75" thickBot="1">
      <c r="A20" s="218" t="s">
        <v>221</v>
      </c>
      <c r="B20" s="142">
        <f aca="true" t="shared" si="1" ref="B20:G20">SUM(B16:B18)-B19</f>
        <v>3705000</v>
      </c>
      <c r="C20" s="142">
        <f t="shared" si="1"/>
        <v>3256157.0060000014</v>
      </c>
      <c r="D20" s="142">
        <f t="shared" si="1"/>
        <v>4092161.560821045</v>
      </c>
      <c r="E20" s="142">
        <f t="shared" si="1"/>
        <v>6738003.820918796</v>
      </c>
      <c r="F20" s="142">
        <f t="shared" si="1"/>
        <v>12503252.522578891</v>
      </c>
      <c r="G20" s="142">
        <f t="shared" si="1"/>
        <v>22107375.90896252</v>
      </c>
      <c r="I20" s="151"/>
    </row>
    <row r="21" spans="1:9" ht="15.75" thickTop="1">
      <c r="A21" s="216"/>
      <c r="B21" s="140"/>
      <c r="C21" s="140"/>
      <c r="D21" s="140"/>
      <c r="E21" s="140"/>
      <c r="F21" s="140"/>
      <c r="G21" s="140"/>
      <c r="I21" s="151"/>
    </row>
    <row r="22" spans="1:9" ht="15">
      <c r="A22" s="216"/>
      <c r="B22" s="140"/>
      <c r="C22" s="140"/>
      <c r="D22" s="140"/>
      <c r="E22" s="140"/>
      <c r="F22" s="140"/>
      <c r="G22" s="140"/>
      <c r="I22" s="151"/>
    </row>
    <row r="23" spans="1:9" ht="15">
      <c r="A23" s="215" t="s">
        <v>222</v>
      </c>
      <c r="B23" s="140"/>
      <c r="C23" s="140"/>
      <c r="D23" s="140"/>
      <c r="E23" s="140"/>
      <c r="F23" s="140"/>
      <c r="G23" s="140"/>
      <c r="I23" s="151"/>
    </row>
    <row r="24" spans="1:9" ht="15">
      <c r="A24" s="216" t="s">
        <v>223</v>
      </c>
      <c r="B24" s="224">
        <v>0</v>
      </c>
      <c r="C24" s="224">
        <v>185441</v>
      </c>
      <c r="D24" s="224">
        <v>1130493</v>
      </c>
      <c r="E24" s="224">
        <v>2520849</v>
      </c>
      <c r="F24" s="224">
        <v>4527082.2170190895</v>
      </c>
      <c r="G24" s="224">
        <v>7110788.069273174</v>
      </c>
      <c r="I24" s="151"/>
    </row>
    <row r="25" spans="1:9" ht="15">
      <c r="A25" s="216"/>
      <c r="B25" s="140"/>
      <c r="C25" s="140"/>
      <c r="D25" s="140"/>
      <c r="E25" s="140"/>
      <c r="F25" s="140"/>
      <c r="G25" s="140"/>
      <c r="I25" s="151"/>
    </row>
    <row r="26" spans="1:9" ht="15">
      <c r="A26" s="216" t="s">
        <v>227</v>
      </c>
      <c r="B26" s="141">
        <f aca="true" t="shared" si="2" ref="B26:G26">SUM(B24:B25)</f>
        <v>0</v>
      </c>
      <c r="C26" s="141">
        <f t="shared" si="2"/>
        <v>185441</v>
      </c>
      <c r="D26" s="141">
        <f t="shared" si="2"/>
        <v>1130493</v>
      </c>
      <c r="E26" s="141">
        <f t="shared" si="2"/>
        <v>2520849</v>
      </c>
      <c r="F26" s="141">
        <f t="shared" si="2"/>
        <v>4527082.2170190895</v>
      </c>
      <c r="G26" s="141">
        <f t="shared" si="2"/>
        <v>7110788.069273174</v>
      </c>
      <c r="I26" s="151"/>
    </row>
    <row r="27" spans="1:9" ht="15">
      <c r="A27" s="216"/>
      <c r="B27" s="140"/>
      <c r="C27" s="140"/>
      <c r="D27" s="140"/>
      <c r="E27" s="140"/>
      <c r="F27" s="140"/>
      <c r="G27" s="140"/>
      <c r="I27" s="151"/>
    </row>
    <row r="28" spans="1:9" ht="15">
      <c r="A28" s="219" t="s">
        <v>224</v>
      </c>
      <c r="B28" s="140"/>
      <c r="C28" s="140"/>
      <c r="D28" s="140"/>
      <c r="E28" s="140"/>
      <c r="F28" s="140"/>
      <c r="G28" s="140"/>
      <c r="I28" s="151"/>
    </row>
    <row r="29" spans="1:9" ht="15">
      <c r="A29" s="220" t="s">
        <v>248</v>
      </c>
      <c r="B29" s="228">
        <v>4000000</v>
      </c>
      <c r="C29" s="228">
        <v>4000000</v>
      </c>
      <c r="D29" s="228">
        <v>4000000</v>
      </c>
      <c r="E29" s="228">
        <v>4000000</v>
      </c>
      <c r="F29" s="228">
        <v>4000000</v>
      </c>
      <c r="G29" s="228">
        <v>4000000</v>
      </c>
      <c r="I29" s="151"/>
    </row>
    <row r="30" spans="1:9" ht="15">
      <c r="A30" s="221" t="s">
        <v>228</v>
      </c>
      <c r="B30" s="144">
        <f>'Income Stmt 6 Yr. Most Likely'!B35</f>
        <v>-295000</v>
      </c>
      <c r="C30" s="144">
        <f>B30+'Income Stmt 6 Yr. Most Likely'!C35</f>
        <v>-929283.6440000001</v>
      </c>
      <c r="D30" s="144">
        <f>C30+'Income Stmt 6 Yr. Most Likely'!D35</f>
        <v>-1038331.7518670298</v>
      </c>
      <c r="E30" s="144">
        <f>D30+'Income Stmt 6 Yr. Most Likely'!E35</f>
        <v>217155.04731634445</v>
      </c>
      <c r="F30" s="144">
        <f>E30+'Income Stmt 6 Yr. Most Likely'!F35</f>
        <v>3976170.305559802</v>
      </c>
      <c r="G30" s="144">
        <f>F30+'Income Stmt 6 Yr. Most Likely'!G35</f>
        <v>10996587.839689348</v>
      </c>
      <c r="I30" s="151"/>
    </row>
    <row r="31" spans="1:9" ht="15">
      <c r="A31" s="221" t="s">
        <v>225</v>
      </c>
      <c r="B31" s="140">
        <f aca="true" t="shared" si="3" ref="B31:G31">SUM(B29:B30)</f>
        <v>3705000</v>
      </c>
      <c r="C31" s="140">
        <f t="shared" si="3"/>
        <v>3070716.3559999997</v>
      </c>
      <c r="D31" s="140">
        <f t="shared" si="3"/>
        <v>2961668.24813297</v>
      </c>
      <c r="E31" s="140">
        <f t="shared" si="3"/>
        <v>4217155.047316344</v>
      </c>
      <c r="F31" s="140">
        <f t="shared" si="3"/>
        <v>7976170.305559802</v>
      </c>
      <c r="G31" s="140">
        <f t="shared" si="3"/>
        <v>14996587.839689348</v>
      </c>
      <c r="I31" s="151"/>
    </row>
    <row r="32" spans="1:9" ht="15.75" thickBot="1">
      <c r="A32" s="222" t="s">
        <v>226</v>
      </c>
      <c r="B32" s="142">
        <f aca="true" t="shared" si="4" ref="B32:G32">B24+B31</f>
        <v>3705000</v>
      </c>
      <c r="C32" s="142">
        <f t="shared" si="4"/>
        <v>3256157.3559999997</v>
      </c>
      <c r="D32" s="142">
        <f t="shared" si="4"/>
        <v>4092161.24813297</v>
      </c>
      <c r="E32" s="142">
        <f t="shared" si="4"/>
        <v>6738004.047316344</v>
      </c>
      <c r="F32" s="142">
        <f t="shared" si="4"/>
        <v>12503252.522578891</v>
      </c>
      <c r="G32" s="142">
        <f t="shared" si="4"/>
        <v>22107375.90896252</v>
      </c>
      <c r="I32" s="151"/>
    </row>
    <row r="33" ht="15.75" thickTop="1"/>
    <row r="35" spans="2:7" ht="15">
      <c r="B35" s="248" t="s">
        <v>288</v>
      </c>
      <c r="C35" s="248"/>
      <c r="D35" s="248"/>
      <c r="E35" s="248"/>
      <c r="F35" s="248"/>
      <c r="G35" s="248"/>
    </row>
    <row r="36" ht="15">
      <c r="G36" s="140"/>
    </row>
  </sheetData>
  <sheetProtection password="DC55" sheet="1" objects="1" scenarios="1" formatCells="0" formatColumns="0" formatRows="0" insertColumns="0" insertRows="0" insertHyperlinks="0" deleteColumns="0" deleteRows="0" selectLockedCells="1" sort="0"/>
  <mergeCells count="1">
    <mergeCell ref="B35:G35"/>
  </mergeCells>
  <printOptions/>
  <pageMargins left="0.75" right="0.75" top="1" bottom="1" header="0.5" footer="0.5"/>
  <pageSetup fitToHeight="1" fitToWidth="1" horizontalDpi="600" verticalDpi="600" orientation="landscape" scale="96" r:id="rId3"/>
  <headerFooter alignWithMargins="0">
    <oddHeader>&amp;C&amp;"-,Bold"&amp;36&amp;UProject Victories Project Selection Tool</oddHeader>
    <oddFooter>&amp;CCopyright The Volpe Consortium, Inc.</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I35"/>
  <sheetViews>
    <sheetView view="pageLayout" workbookViewId="0" topLeftCell="A8">
      <selection activeCell="A14" sqref="A14"/>
    </sheetView>
  </sheetViews>
  <sheetFormatPr defaultColWidth="9.140625" defaultRowHeight="15"/>
  <cols>
    <col min="1" max="1" width="36.140625" style="0" customWidth="1"/>
    <col min="2" max="3" width="14.7109375" style="0" bestFit="1" customWidth="1"/>
    <col min="4" max="4" width="14.28125" style="0" bestFit="1" customWidth="1"/>
    <col min="5" max="8" width="15.28125" style="0" bestFit="1" customWidth="1"/>
    <col min="9" max="9" width="20.7109375" style="0" customWidth="1"/>
    <col min="10" max="10" width="11.00390625" style="0" bestFit="1" customWidth="1"/>
  </cols>
  <sheetData>
    <row r="1" spans="1:8" ht="15" hidden="1">
      <c r="A1" s="57"/>
      <c r="B1" s="101" t="s">
        <v>15</v>
      </c>
      <c r="C1" s="101" t="s">
        <v>35</v>
      </c>
      <c r="D1" s="101" t="s">
        <v>54</v>
      </c>
      <c r="E1" s="125"/>
      <c r="F1" s="125"/>
      <c r="G1" s="74"/>
      <c r="H1" s="147"/>
    </row>
    <row r="2" spans="1:8" ht="15" hidden="1">
      <c r="A2" s="31" t="str">
        <f>'FY 0 Worst'!A2</f>
        <v>Sale Per Product</v>
      </c>
      <c r="B2" s="31">
        <f>'FY 0 Worst'!B2</f>
        <v>11.504463131543012</v>
      </c>
      <c r="C2" s="31">
        <f>'FY 0 Worst'!C2</f>
        <v>4.995536868456988</v>
      </c>
      <c r="D2" s="122">
        <f>B2+C2</f>
        <v>16.5</v>
      </c>
      <c r="E2" s="74"/>
      <c r="F2" s="74"/>
      <c r="G2" s="74"/>
      <c r="H2" s="147"/>
    </row>
    <row r="3" spans="1:8" ht="15" hidden="1">
      <c r="A3" s="31" t="str">
        <f>'FY 0 Worst'!A3</f>
        <v>Sale Per Product Bundle</v>
      </c>
      <c r="B3" s="31">
        <f>'FY 0 Worst'!B3</f>
        <v>138</v>
      </c>
      <c r="C3" s="31">
        <f>'FY 0 Worst'!C3</f>
        <v>60</v>
      </c>
      <c r="D3" s="122">
        <f>SUM(B3:C3)</f>
        <v>198</v>
      </c>
      <c r="E3" s="74"/>
      <c r="F3" s="74"/>
      <c r="G3" s="74"/>
      <c r="H3" s="147"/>
    </row>
    <row r="4" spans="1:8" ht="15" hidden="1">
      <c r="A4" s="31" t="str">
        <f>'FY 0 Worst'!A4</f>
        <v>Production Lines ( if applicable)</v>
      </c>
      <c r="B4" s="123">
        <f>'FY 0 Worst'!M4</f>
        <v>0</v>
      </c>
      <c r="C4" s="123">
        <f>'FY 1 Worst'!M4</f>
        <v>1</v>
      </c>
      <c r="D4" s="123">
        <f>'FY 2 Worst'!M4</f>
        <v>1</v>
      </c>
      <c r="E4" s="123">
        <f>'FY 3 Worst'!M4</f>
        <v>2</v>
      </c>
      <c r="F4" s="123">
        <f>'FY 4 Worst'!M4</f>
        <v>4</v>
      </c>
      <c r="G4" s="123">
        <f>'FY 5 Worst'!M4</f>
        <v>5</v>
      </c>
      <c r="H4" s="147"/>
    </row>
    <row r="5" spans="1:8" ht="15" hidden="1">
      <c r="A5" s="31" t="str">
        <f>'FY 0 Worst'!A5</f>
        <v>Product Volume</v>
      </c>
      <c r="B5" s="123">
        <f>'FY 0 Worst'!N5</f>
        <v>0</v>
      </c>
      <c r="C5" s="123">
        <f>'FY 1 Worst'!N5</f>
        <v>1936</v>
      </c>
      <c r="D5" s="123">
        <f>'FY 2 Worst'!N5</f>
        <v>17312.716137933225</v>
      </c>
      <c r="E5" s="123">
        <f>'FY 3 Worst'!N5</f>
        <v>38605.03972399722</v>
      </c>
      <c r="F5" s="123">
        <f>'FY 4 Worst'!N5</f>
        <v>69329.10480467601</v>
      </c>
      <c r="G5" s="123">
        <f>'FY 5 Worst'!N5</f>
        <v>108896.75682167994</v>
      </c>
      <c r="H5" s="148"/>
    </row>
    <row r="6" spans="1:8" ht="15" hidden="1">
      <c r="A6" s="73" t="s">
        <v>68</v>
      </c>
      <c r="B6" s="14" t="s">
        <v>75</v>
      </c>
      <c r="C6" s="14" t="s">
        <v>69</v>
      </c>
      <c r="D6" s="14" t="s">
        <v>73</v>
      </c>
      <c r="E6" s="14" t="s">
        <v>74</v>
      </c>
      <c r="F6" s="14" t="s">
        <v>76</v>
      </c>
      <c r="G6" s="14" t="s">
        <v>77</v>
      </c>
      <c r="H6" s="297"/>
    </row>
    <row r="7" spans="1:8" ht="15" hidden="1">
      <c r="A7" s="73" t="s">
        <v>55</v>
      </c>
      <c r="B7" s="31">
        <f>'FY 0 Worst'!N7</f>
        <v>0</v>
      </c>
      <c r="C7" s="31">
        <f>'FY 1 Worst'!N7</f>
        <v>383328</v>
      </c>
      <c r="D7" s="31">
        <f>'FY 2 Worst'!N7</f>
        <v>3427917.7953107785</v>
      </c>
      <c r="E7" s="31">
        <f>'FY 3 Worst'!N7</f>
        <v>7643797.86535145</v>
      </c>
      <c r="F7" s="31">
        <f>'FY 4 Worst'!N7</f>
        <v>13727162.751325851</v>
      </c>
      <c r="G7" s="31">
        <f>'FY 5 Worst'!N7</f>
        <v>21561557.850692634</v>
      </c>
      <c r="H7" s="150"/>
    </row>
    <row r="10" spans="2:9" ht="15">
      <c r="B10" s="223" t="s">
        <v>230</v>
      </c>
      <c r="C10" s="223" t="s">
        <v>229</v>
      </c>
      <c r="D10" s="223" t="s">
        <v>231</v>
      </c>
      <c r="E10" s="223" t="s">
        <v>232</v>
      </c>
      <c r="F10" s="223" t="s">
        <v>233</v>
      </c>
      <c r="G10" s="223" t="s">
        <v>234</v>
      </c>
      <c r="I10" s="229"/>
    </row>
    <row r="11" spans="1:9" ht="15">
      <c r="A11" s="215" t="s">
        <v>217</v>
      </c>
      <c r="I11" s="102"/>
    </row>
    <row r="12" spans="1:9" ht="15">
      <c r="A12" s="216" t="s">
        <v>218</v>
      </c>
      <c r="B12" s="140">
        <f>'6 Year Cash Flow (Worst)'!O5</f>
        <v>3705000</v>
      </c>
      <c r="C12" s="140">
        <f>'6 Year Cash Flow (Worst)'!O14</f>
        <v>2900827.290000001</v>
      </c>
      <c r="D12" s="140">
        <f>'6 Year Cash Flow (Worst)'!O23</f>
        <v>2250947.8800690947</v>
      </c>
      <c r="E12" s="140">
        <f>'6 Year Cash Flow (Most Likely)'!O32</f>
        <v>3697155.0473163463</v>
      </c>
      <c r="F12" s="140">
        <f>'6 Year Cash Flow (Worst)'!O41</f>
        <v>3674725.7569964803</v>
      </c>
      <c r="G12" s="140">
        <f>'6 Year Cash Flow (Worst)'!O50</f>
        <v>7185190.047064759</v>
      </c>
      <c r="I12" s="151"/>
    </row>
    <row r="13" spans="1:9" ht="15">
      <c r="A13" s="180" t="s">
        <v>246</v>
      </c>
      <c r="B13" s="140">
        <v>0</v>
      </c>
      <c r="C13" s="140">
        <f>C7*30/360</f>
        <v>31944</v>
      </c>
      <c r="D13" s="140">
        <f>D7*30/360</f>
        <v>285659.8162758982</v>
      </c>
      <c r="E13" s="140">
        <f>E7*30/360</f>
        <v>636983.1554459541</v>
      </c>
      <c r="F13" s="140">
        <f>F7*30/360</f>
        <v>1143930.2292771542</v>
      </c>
      <c r="G13" s="140">
        <f>G7*30/360</f>
        <v>1796796.4875577195</v>
      </c>
      <c r="I13" s="151"/>
    </row>
    <row r="14" spans="1:9" ht="15">
      <c r="A14" s="217" t="s">
        <v>219</v>
      </c>
      <c r="B14" s="141">
        <v>0</v>
      </c>
      <c r="C14" s="141">
        <f>(C5*$B$3)*2/12</f>
        <v>44528</v>
      </c>
      <c r="D14" s="141">
        <f>(D5*$B$3)*2/12</f>
        <v>398192.47117246414</v>
      </c>
      <c r="E14" s="141">
        <f>(E5*$B$3)*2/12</f>
        <v>887915.9136519361</v>
      </c>
      <c r="F14" s="141">
        <f>(F5*$B$3)*2/12</f>
        <v>1594569.4105075484</v>
      </c>
      <c r="G14" s="141">
        <f>(G5*$B$3)*2/12</f>
        <v>2504625.4068986387</v>
      </c>
      <c r="I14" s="151"/>
    </row>
    <row r="15" spans="1:9" ht="15">
      <c r="A15" s="216"/>
      <c r="B15" s="140"/>
      <c r="C15" s="140"/>
      <c r="D15" s="140"/>
      <c r="E15" s="140"/>
      <c r="F15" s="140"/>
      <c r="G15" s="140"/>
      <c r="I15" s="151"/>
    </row>
    <row r="16" spans="1:9" ht="15">
      <c r="A16" s="218" t="s">
        <v>220</v>
      </c>
      <c r="B16" s="141">
        <f aca="true" t="shared" si="0" ref="B16:G16">SUM(B12:B15)</f>
        <v>3705000</v>
      </c>
      <c r="C16" s="141">
        <f t="shared" si="0"/>
        <v>2977299.290000001</v>
      </c>
      <c r="D16" s="141">
        <f t="shared" si="0"/>
        <v>2934800.167517457</v>
      </c>
      <c r="E16" s="141">
        <f t="shared" si="0"/>
        <v>5222054.116414236</v>
      </c>
      <c r="F16" s="141">
        <f t="shared" si="0"/>
        <v>6413225.396781183</v>
      </c>
      <c r="G16" s="141">
        <f t="shared" si="0"/>
        <v>11486611.941521117</v>
      </c>
      <c r="I16" s="151"/>
    </row>
    <row r="17" spans="1:9" ht="15">
      <c r="A17" s="216"/>
      <c r="B17" s="140"/>
      <c r="C17" s="140"/>
      <c r="D17" s="140"/>
      <c r="E17" s="140"/>
      <c r="F17" s="140"/>
      <c r="G17" s="140"/>
      <c r="I17" s="151"/>
    </row>
    <row r="18" spans="1:9" ht="15">
      <c r="A18" s="216" t="s">
        <v>250</v>
      </c>
      <c r="B18" s="224">
        <v>0</v>
      </c>
      <c r="C18" s="224">
        <v>200000</v>
      </c>
      <c r="D18" s="224">
        <v>200000</v>
      </c>
      <c r="E18" s="224">
        <v>400000</v>
      </c>
      <c r="F18" s="224">
        <v>800000</v>
      </c>
      <c r="G18" s="224">
        <v>1000000</v>
      </c>
      <c r="I18" s="151"/>
    </row>
    <row r="19" spans="1:9" ht="15">
      <c r="A19" s="216" t="s">
        <v>249</v>
      </c>
      <c r="B19" s="140">
        <f>'Timing Difference'!B55</f>
        <v>0</v>
      </c>
      <c r="C19" s="140">
        <f>'Timing Difference'!C89</f>
        <v>40000</v>
      </c>
      <c r="D19" s="140">
        <f>'Timing Difference'!D89</f>
        <v>120000</v>
      </c>
      <c r="E19" s="140">
        <f>'Timing Difference'!E89</f>
        <v>240000</v>
      </c>
      <c r="F19" s="140">
        <f>'Timing Difference'!F89</f>
        <v>400000</v>
      </c>
      <c r="G19" s="140">
        <f>'Timing Difference'!G89</f>
        <v>600000</v>
      </c>
      <c r="I19" s="151"/>
    </row>
    <row r="20" spans="1:9" ht="15.75" thickBot="1">
      <c r="A20" s="218" t="s">
        <v>221</v>
      </c>
      <c r="B20" s="142">
        <f aca="true" t="shared" si="1" ref="B20:G20">SUM(B16:B18)-B19</f>
        <v>3705000</v>
      </c>
      <c r="C20" s="142">
        <f t="shared" si="1"/>
        <v>3137299.290000001</v>
      </c>
      <c r="D20" s="142">
        <f t="shared" si="1"/>
        <v>3014800.167517457</v>
      </c>
      <c r="E20" s="142">
        <f t="shared" si="1"/>
        <v>5382054.116414236</v>
      </c>
      <c r="F20" s="142">
        <f t="shared" si="1"/>
        <v>6813225.396781183</v>
      </c>
      <c r="G20" s="142">
        <f t="shared" si="1"/>
        <v>11886611.941521117</v>
      </c>
      <c r="I20" s="151"/>
    </row>
    <row r="21" spans="1:9" ht="15.75" thickTop="1">
      <c r="A21" s="216"/>
      <c r="B21" s="140"/>
      <c r="C21" s="140"/>
      <c r="D21" s="140"/>
      <c r="E21" s="140"/>
      <c r="F21" s="140"/>
      <c r="G21" s="140"/>
      <c r="I21" s="151"/>
    </row>
    <row r="22" spans="1:9" ht="15">
      <c r="A22" s="216"/>
      <c r="B22" s="140"/>
      <c r="C22" s="140"/>
      <c r="D22" s="140"/>
      <c r="E22" s="140"/>
      <c r="F22" s="140"/>
      <c r="G22" s="140"/>
      <c r="I22" s="151"/>
    </row>
    <row r="23" spans="1:9" ht="15">
      <c r="A23" s="215" t="s">
        <v>222</v>
      </c>
      <c r="B23" s="140"/>
      <c r="C23" s="140"/>
      <c r="D23" s="140"/>
      <c r="E23" s="140"/>
      <c r="F23" s="140"/>
      <c r="G23" s="140"/>
      <c r="I23" s="151"/>
    </row>
    <row r="24" spans="1:9" ht="15">
      <c r="A24" s="216" t="s">
        <v>223</v>
      </c>
      <c r="B24" s="224">
        <v>200000</v>
      </c>
      <c r="C24" s="224">
        <v>596472</v>
      </c>
      <c r="D24" s="224">
        <v>1563852</v>
      </c>
      <c r="E24" s="224">
        <v>4446312</v>
      </c>
      <c r="F24" s="224">
        <v>5178500</v>
      </c>
      <c r="G24" s="224">
        <v>7141422</v>
      </c>
      <c r="I24" s="151"/>
    </row>
    <row r="25" spans="1:9" ht="15">
      <c r="A25" s="216"/>
      <c r="B25" s="140"/>
      <c r="C25" s="140"/>
      <c r="D25" s="140"/>
      <c r="E25" s="140"/>
      <c r="F25" s="140"/>
      <c r="G25" s="140"/>
      <c r="I25" s="151"/>
    </row>
    <row r="26" spans="1:9" ht="15">
      <c r="A26" s="216" t="s">
        <v>227</v>
      </c>
      <c r="B26" s="141">
        <f aca="true" t="shared" si="2" ref="B26:G26">SUM(B24:B25)</f>
        <v>200000</v>
      </c>
      <c r="C26" s="141">
        <f t="shared" si="2"/>
        <v>596472</v>
      </c>
      <c r="D26" s="141">
        <f t="shared" si="2"/>
        <v>1563852</v>
      </c>
      <c r="E26" s="141">
        <f t="shared" si="2"/>
        <v>4446312</v>
      </c>
      <c r="F26" s="141">
        <f t="shared" si="2"/>
        <v>5178500</v>
      </c>
      <c r="G26" s="141">
        <f t="shared" si="2"/>
        <v>7141422</v>
      </c>
      <c r="I26" s="151"/>
    </row>
    <row r="27" spans="1:9" ht="15">
      <c r="A27" s="216"/>
      <c r="B27" s="140"/>
      <c r="C27" s="140"/>
      <c r="D27" s="140"/>
      <c r="E27" s="140"/>
      <c r="F27" s="140"/>
      <c r="G27" s="140"/>
      <c r="I27" s="151"/>
    </row>
    <row r="28" spans="1:9" ht="15">
      <c r="A28" s="219" t="s">
        <v>224</v>
      </c>
      <c r="B28" s="140"/>
      <c r="C28" s="140"/>
      <c r="D28" s="140"/>
      <c r="E28" s="140"/>
      <c r="F28" s="140"/>
      <c r="G28" s="140"/>
      <c r="I28" s="151"/>
    </row>
    <row r="29" spans="1:9" ht="15">
      <c r="A29" s="220" t="s">
        <v>248</v>
      </c>
      <c r="B29" s="228">
        <v>4000000</v>
      </c>
      <c r="C29" s="228">
        <v>4000000</v>
      </c>
      <c r="D29" s="228">
        <v>4000000</v>
      </c>
      <c r="E29" s="228">
        <v>4000000</v>
      </c>
      <c r="F29" s="228">
        <v>4000000</v>
      </c>
      <c r="G29" s="228">
        <v>4000000</v>
      </c>
      <c r="I29" s="151"/>
    </row>
    <row r="30" spans="1:9" ht="15">
      <c r="A30" s="221" t="s">
        <v>228</v>
      </c>
      <c r="B30" s="144">
        <f>'Income Stmt - 6 Yr. Worst'!B35</f>
        <v>-295000</v>
      </c>
      <c r="C30" s="144">
        <f>'Income Stmt - 6 Yr. Worst'!C35+B30</f>
        <v>-939172.7100000002</v>
      </c>
      <c r="D30" s="144">
        <f>'Income Stmt - 6 Yr. Worst'!D35+C30</f>
        <v>-1469052.1199309062</v>
      </c>
      <c r="E30" s="144">
        <f>'Income Stmt - 6 Yr. Worst'!E35+D30</f>
        <v>-1457449.9040770684</v>
      </c>
      <c r="F30" s="144">
        <f>'Income Stmt - 6 Yr. Worst'!F35+E30</f>
        <v>74725.75699647865</v>
      </c>
      <c r="G30" s="144">
        <f>'Income Stmt - 6 Yr. Worst'!G35+F30</f>
        <v>3585190.047064756</v>
      </c>
      <c r="I30" s="151"/>
    </row>
    <row r="31" spans="1:9" ht="15">
      <c r="A31" s="221" t="s">
        <v>225</v>
      </c>
      <c r="B31" s="140">
        <f aca="true" t="shared" si="3" ref="B31:G31">SUM(B29:B30)</f>
        <v>3705000</v>
      </c>
      <c r="C31" s="140">
        <f t="shared" si="3"/>
        <v>3060827.29</v>
      </c>
      <c r="D31" s="140">
        <f t="shared" si="3"/>
        <v>2530947.880069094</v>
      </c>
      <c r="E31" s="140">
        <f t="shared" si="3"/>
        <v>2542550.0959229316</v>
      </c>
      <c r="F31" s="140">
        <f t="shared" si="3"/>
        <v>4074725.756996479</v>
      </c>
      <c r="G31" s="140">
        <f t="shared" si="3"/>
        <v>7585190.047064756</v>
      </c>
      <c r="I31" s="151"/>
    </row>
    <row r="32" spans="1:9" ht="15.75" thickBot="1">
      <c r="A32" s="222" t="s">
        <v>226</v>
      </c>
      <c r="B32" s="142">
        <f aca="true" t="shared" si="4" ref="B32:G32">B24+B31</f>
        <v>3905000</v>
      </c>
      <c r="C32" s="142">
        <f t="shared" si="4"/>
        <v>3657299.29</v>
      </c>
      <c r="D32" s="142">
        <f t="shared" si="4"/>
        <v>4094799.880069094</v>
      </c>
      <c r="E32" s="142">
        <f t="shared" si="4"/>
        <v>6988862.095922932</v>
      </c>
      <c r="F32" s="142">
        <f t="shared" si="4"/>
        <v>9253225.756996479</v>
      </c>
      <c r="G32" s="142">
        <f t="shared" si="4"/>
        <v>14726612.047064755</v>
      </c>
      <c r="I32" s="151"/>
    </row>
    <row r="33" ht="15.75" thickTop="1"/>
    <row r="35" spans="2:7" ht="15">
      <c r="B35" s="248" t="s">
        <v>288</v>
      </c>
      <c r="C35" s="248"/>
      <c r="D35" s="248"/>
      <c r="E35" s="248"/>
      <c r="F35" s="248"/>
      <c r="G35" s="248"/>
    </row>
  </sheetData>
  <sheetProtection password="DC55" sheet="1" objects="1" scenarios="1" formatCells="0" formatColumns="0" formatRows="0" insertColumns="0" insertRows="0" insertHyperlinks="0" deleteColumns="0" deleteRows="0" selectLockedCells="1" sort="0"/>
  <mergeCells count="1">
    <mergeCell ref="B35:G35"/>
  </mergeCells>
  <printOptions/>
  <pageMargins left="0.75" right="0.75" top="1" bottom="1" header="0.5" footer="0.5"/>
  <pageSetup fitToHeight="1" fitToWidth="1" horizontalDpi="600" verticalDpi="600" orientation="landscape" scale="96" r:id="rId3"/>
  <headerFooter alignWithMargins="0">
    <oddHeader>&amp;C&amp;"-,Bold"&amp;36&amp;UProject Victories Project Selection Tool</oddHeader>
    <oddFooter>&amp;CCopyright The Volpe Consortium, Inc.</oddFooter>
  </headerFooter>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R46"/>
  <sheetViews>
    <sheetView view="pageLayout" workbookViewId="0" topLeftCell="A1">
      <selection activeCell="B4" sqref="B4:G4"/>
    </sheetView>
  </sheetViews>
  <sheetFormatPr defaultColWidth="9.140625" defaultRowHeight="15"/>
  <cols>
    <col min="1" max="1" width="28.140625" style="0" customWidth="1"/>
    <col min="2" max="2" width="14.28125" style="0" bestFit="1" customWidth="1"/>
    <col min="3" max="3" width="15.00390625" style="0" bestFit="1" customWidth="1"/>
    <col min="4" max="4" width="14.281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63"/>
      <c r="B1" s="231" t="s">
        <v>15</v>
      </c>
      <c r="C1" s="231" t="s">
        <v>35</v>
      </c>
      <c r="D1" s="231" t="s">
        <v>54</v>
      </c>
      <c r="E1" s="125"/>
      <c r="F1" s="125"/>
      <c r="G1" s="125"/>
      <c r="H1" s="126"/>
      <c r="K1" s="199"/>
      <c r="L1" s="199"/>
      <c r="M1" s="199"/>
      <c r="N1" s="199"/>
      <c r="O1" s="199"/>
      <c r="P1" s="199"/>
      <c r="Q1" s="199"/>
      <c r="R1" s="207"/>
    </row>
    <row r="2" spans="1:18" ht="18.75">
      <c r="A2" s="169" t="s">
        <v>281</v>
      </c>
      <c r="B2" s="172">
        <f>Calcs!E22</f>
        <v>11.504463131543012</v>
      </c>
      <c r="C2" s="172">
        <f>Calcs!F22</f>
        <v>4.995536868456988</v>
      </c>
      <c r="D2" s="122">
        <f>B2+C2</f>
        <v>16.5</v>
      </c>
      <c r="E2" s="74"/>
      <c r="F2" s="74"/>
      <c r="G2" s="74"/>
      <c r="H2" s="75"/>
      <c r="K2" s="199"/>
      <c r="L2" s="199"/>
      <c r="M2" s="199"/>
      <c r="N2" s="199"/>
      <c r="O2" s="199"/>
      <c r="P2" s="199"/>
      <c r="Q2" s="199"/>
      <c r="R2" s="200"/>
    </row>
    <row r="3" spans="1:18" ht="15">
      <c r="A3" s="169" t="s">
        <v>282</v>
      </c>
      <c r="B3" s="172">
        <f>Calcs!E23</f>
        <v>138</v>
      </c>
      <c r="C3" s="172">
        <f>Calcs!F23</f>
        <v>60</v>
      </c>
      <c r="D3" s="122">
        <f>SUM(B3:C3)</f>
        <v>198</v>
      </c>
      <c r="E3" s="74"/>
      <c r="F3" s="74"/>
      <c r="G3" s="74"/>
      <c r="H3" s="75"/>
      <c r="K3" s="201"/>
      <c r="L3" s="202"/>
      <c r="M3" s="202"/>
      <c r="N3" s="202"/>
      <c r="O3" s="202"/>
      <c r="P3" s="202"/>
      <c r="Q3" s="202"/>
      <c r="R3" s="202"/>
    </row>
    <row r="4" spans="1:18" ht="15">
      <c r="A4" s="169" t="s">
        <v>283</v>
      </c>
      <c r="B4" s="197">
        <v>0</v>
      </c>
      <c r="C4" s="197">
        <v>1</v>
      </c>
      <c r="D4" s="197">
        <v>3</v>
      </c>
      <c r="E4" s="197">
        <v>5</v>
      </c>
      <c r="F4" s="197">
        <v>9</v>
      </c>
      <c r="G4" s="197">
        <v>12</v>
      </c>
      <c r="H4" s="75"/>
      <c r="K4" s="145"/>
      <c r="L4" s="203"/>
      <c r="M4" s="203"/>
      <c r="N4" s="203"/>
      <c r="O4" s="203"/>
      <c r="P4" s="203"/>
      <c r="Q4" s="203"/>
      <c r="R4" s="203"/>
    </row>
    <row r="5" spans="1:18" ht="15">
      <c r="A5" s="169" t="s">
        <v>284</v>
      </c>
      <c r="B5" s="123">
        <f>'FY 0 Best'!N5</f>
        <v>0</v>
      </c>
      <c r="C5" s="123">
        <f>'FY 1 Best'!N5</f>
        <v>9243.588899999999</v>
      </c>
      <c r="D5" s="123">
        <f>'FY 2 Best'!N5</f>
        <v>45420.0730945816</v>
      </c>
      <c r="E5" s="123">
        <f>'FY 3 Best'!N5</f>
        <v>101280.68363815409</v>
      </c>
      <c r="F5" s="123">
        <f>'FY 4 Best'!N5</f>
        <v>181885.55641542506</v>
      </c>
      <c r="G5" s="123">
        <f>'FY 5 Best'!N5</f>
        <v>285691.6624287726</v>
      </c>
      <c r="H5" s="127">
        <f>SUM(B5:G5)</f>
        <v>623521.5644769333</v>
      </c>
      <c r="K5" s="145"/>
      <c r="L5" s="145"/>
      <c r="M5" s="145"/>
      <c r="N5" s="145"/>
      <c r="O5" s="145"/>
      <c r="P5" s="145"/>
      <c r="Q5" s="145"/>
      <c r="R5" s="139"/>
    </row>
    <row r="6" spans="1:18" ht="15">
      <c r="A6" s="169" t="s">
        <v>57</v>
      </c>
      <c r="B6" s="174" t="s">
        <v>75</v>
      </c>
      <c r="C6" s="174" t="s">
        <v>69</v>
      </c>
      <c r="D6" s="174" t="s">
        <v>73</v>
      </c>
      <c r="E6" s="174" t="s">
        <v>74</v>
      </c>
      <c r="F6" s="174" t="s">
        <v>76</v>
      </c>
      <c r="G6" s="174" t="s">
        <v>77</v>
      </c>
      <c r="H6" s="194" t="s">
        <v>216</v>
      </c>
      <c r="K6" s="145"/>
      <c r="L6" s="203"/>
      <c r="M6" s="203"/>
      <c r="N6" s="203"/>
      <c r="O6" s="203"/>
      <c r="P6" s="203"/>
      <c r="Q6" s="203"/>
      <c r="R6" s="203"/>
    </row>
    <row r="7" spans="1:18" ht="15">
      <c r="A7" s="169" t="s">
        <v>55</v>
      </c>
      <c r="B7" s="31">
        <f>'FY 0 Best'!N7</f>
        <v>0</v>
      </c>
      <c r="C7" s="31">
        <f>'FY 1 Best'!N7</f>
        <v>1830230.6021999996</v>
      </c>
      <c r="D7" s="31">
        <f>'FY 2 Best'!N7</f>
        <v>8993174.472727157</v>
      </c>
      <c r="E7" s="31">
        <f>'FY 3 Best'!N7</f>
        <v>20053575.36035451</v>
      </c>
      <c r="F7" s="31">
        <f>'FY 4 Best'!N7</f>
        <v>36013340.17025416</v>
      </c>
      <c r="G7" s="31">
        <f>'FY 5 Best'!N7</f>
        <v>56566949.16089698</v>
      </c>
      <c r="H7" s="127">
        <f>SUM(B7:G7)</f>
        <v>123457269.7664328</v>
      </c>
      <c r="K7" s="145"/>
      <c r="L7" s="203"/>
      <c r="M7" s="203"/>
      <c r="N7" s="203"/>
      <c r="O7" s="203"/>
      <c r="P7" s="203"/>
      <c r="Q7" s="203"/>
      <c r="R7" s="202"/>
    </row>
    <row r="8" spans="1:18" ht="15">
      <c r="A8" s="193"/>
      <c r="B8" s="36"/>
      <c r="C8" s="36"/>
      <c r="D8" s="36"/>
      <c r="E8" s="36"/>
      <c r="F8" s="36"/>
      <c r="G8" s="36"/>
      <c r="H8" s="134"/>
      <c r="K8" s="145"/>
      <c r="L8" s="203"/>
      <c r="M8" s="203"/>
      <c r="N8" s="203"/>
      <c r="O8" s="203"/>
      <c r="P8" s="203"/>
      <c r="Q8" s="203"/>
      <c r="R8" s="203"/>
    </row>
    <row r="9" spans="1:18" ht="15">
      <c r="A9" s="169" t="s">
        <v>56</v>
      </c>
      <c r="B9" s="31">
        <f>'FY 0 Best'!N9</f>
        <v>0</v>
      </c>
      <c r="C9" s="31">
        <f>'FY 1 Best'!N9</f>
        <v>1275615.2682</v>
      </c>
      <c r="D9" s="31">
        <f>'FY 2 Best'!N9</f>
        <v>6267970.087052261</v>
      </c>
      <c r="E9" s="31">
        <f>'FY 3 Best'!N9</f>
        <v>13976734.342065265</v>
      </c>
      <c r="F9" s="31">
        <f>'FY 4 Best'!N9</f>
        <v>25100206.785328664</v>
      </c>
      <c r="G9" s="31">
        <f>'FY 5 Best'!N9</f>
        <v>39425449.41517062</v>
      </c>
      <c r="H9" s="61">
        <f aca="true" t="shared" si="0" ref="H9:H35">SUM(B9:G9)</f>
        <v>86045975.8978168</v>
      </c>
      <c r="K9" s="145"/>
      <c r="L9" s="203"/>
      <c r="M9" s="203"/>
      <c r="N9" s="203"/>
      <c r="O9" s="203"/>
      <c r="P9" s="203"/>
      <c r="Q9" s="203"/>
      <c r="R9" s="203"/>
    </row>
    <row r="10" spans="1:18" ht="15">
      <c r="A10" s="169" t="s">
        <v>215</v>
      </c>
      <c r="B10" s="31">
        <f>'FY 0 Best'!N10</f>
        <v>25000</v>
      </c>
      <c r="C10" s="31">
        <f>'FY 1 Best'!N10</f>
        <v>0</v>
      </c>
      <c r="D10" s="31">
        <f>'FY 2 Best'!N10</f>
        <v>0</v>
      </c>
      <c r="E10" s="31">
        <f>'FY 3 Best'!N10</f>
        <v>0</v>
      </c>
      <c r="F10" s="31">
        <f>'FY 4 Best'!N10</f>
        <v>0</v>
      </c>
      <c r="G10" s="31">
        <f>'FY 5 Best'!N10</f>
        <v>0</v>
      </c>
      <c r="H10" s="61">
        <f>SUM(B10:G10)</f>
        <v>25000</v>
      </c>
      <c r="K10" s="145"/>
      <c r="L10" s="204"/>
      <c r="M10" s="204"/>
      <c r="N10" s="204"/>
      <c r="O10" s="204"/>
      <c r="P10" s="204"/>
      <c r="Q10" s="204"/>
      <c r="R10" s="204"/>
    </row>
    <row r="11" spans="1:18" ht="15">
      <c r="A11" s="169" t="s">
        <v>194</v>
      </c>
      <c r="B11" s="31">
        <f>'FY 0 Best'!N11</f>
        <v>200000</v>
      </c>
      <c r="C11" s="31">
        <f>'FY 1 Best'!N11</f>
        <v>200000</v>
      </c>
      <c r="D11" s="31">
        <f>'FY 2 Best'!N11</f>
        <v>400000</v>
      </c>
      <c r="E11" s="31">
        <f>'FY 3 Best'!N11</f>
        <v>400000</v>
      </c>
      <c r="F11" s="31">
        <f>'FY 4 Best'!N11</f>
        <v>800000</v>
      </c>
      <c r="G11" s="31">
        <f>'FY 5 Best'!N11</f>
        <v>400000</v>
      </c>
      <c r="H11" s="61">
        <f>SUM(B11:G11)</f>
        <v>2400000</v>
      </c>
      <c r="K11" s="145"/>
      <c r="L11" s="139"/>
      <c r="M11" s="139"/>
      <c r="N11" s="139"/>
      <c r="O11" s="139"/>
      <c r="P11" s="139"/>
      <c r="Q11" s="139"/>
      <c r="R11" s="139"/>
    </row>
    <row r="12" spans="1:18" ht="15">
      <c r="A12" s="169" t="s">
        <v>235</v>
      </c>
      <c r="B12" s="31">
        <f>'Timing Difference'!B37</f>
        <v>-160000</v>
      </c>
      <c r="C12" s="31">
        <f>'Timing Difference'!C37</f>
        <v>-120000</v>
      </c>
      <c r="D12" s="31">
        <f>'Timing Difference'!D37</f>
        <v>-240000</v>
      </c>
      <c r="E12" s="31">
        <f>'Timing Difference'!E37</f>
        <v>-160000</v>
      </c>
      <c r="F12" s="31">
        <f>'Timing Difference'!F37</f>
        <v>-400000</v>
      </c>
      <c r="G12" s="31">
        <f>'Timing Difference'!G37</f>
        <v>40000</v>
      </c>
      <c r="H12" s="61">
        <f>SUM(B12:G12)</f>
        <v>-1040000</v>
      </c>
      <c r="K12" s="145"/>
      <c r="L12" s="139"/>
      <c r="M12" s="139"/>
      <c r="N12" s="139"/>
      <c r="O12" s="139"/>
      <c r="P12" s="139"/>
      <c r="Q12" s="139"/>
      <c r="R12" s="139"/>
    </row>
    <row r="13" spans="1:18" ht="15">
      <c r="A13" s="169" t="s">
        <v>208</v>
      </c>
      <c r="B13" s="31">
        <f>'FY 0 Best'!N12</f>
        <v>0</v>
      </c>
      <c r="C13" s="31">
        <f>'FY 0 Best'!O12</f>
        <v>0</v>
      </c>
      <c r="D13" s="31">
        <f>'FY 0 Best'!P12</f>
        <v>0</v>
      </c>
      <c r="E13" s="31">
        <f>'FY 0 Best'!Q12</f>
        <v>0</v>
      </c>
      <c r="F13" s="31">
        <f>'FY 0 Best'!R12</f>
        <v>0</v>
      </c>
      <c r="G13" s="31">
        <f>'FY 0 Best'!S12</f>
        <v>0</v>
      </c>
      <c r="H13" s="61">
        <f t="shared" si="0"/>
        <v>0</v>
      </c>
      <c r="K13" s="145"/>
      <c r="L13" s="139"/>
      <c r="M13" s="139"/>
      <c r="N13" s="139"/>
      <c r="O13" s="139"/>
      <c r="P13" s="139"/>
      <c r="Q13" s="139"/>
      <c r="R13" s="139"/>
    </row>
    <row r="14" spans="1:18" ht="15">
      <c r="A14" s="169" t="s">
        <v>47</v>
      </c>
      <c r="B14" s="31">
        <f>'FY 0 Best'!N13</f>
        <v>36000</v>
      </c>
      <c r="C14" s="31">
        <f>'FY 0 Best'!O13</f>
        <v>0</v>
      </c>
      <c r="D14" s="31">
        <f>'FY 0 Best'!P13</f>
        <v>0</v>
      </c>
      <c r="E14" s="31">
        <f>'FY 0 Best'!Q13</f>
        <v>0</v>
      </c>
      <c r="F14" s="31">
        <f>'FY 0 Best'!R13</f>
        <v>0</v>
      </c>
      <c r="G14" s="31">
        <f>'FY 0 Best'!S13</f>
        <v>0</v>
      </c>
      <c r="H14" s="61">
        <f t="shared" si="0"/>
        <v>36000</v>
      </c>
      <c r="K14" s="145"/>
      <c r="L14" s="139"/>
      <c r="M14" s="139"/>
      <c r="N14" s="139"/>
      <c r="O14" s="139"/>
      <c r="P14" s="139"/>
      <c r="Q14" s="139"/>
      <c r="R14" s="139"/>
    </row>
    <row r="15" spans="1:18" ht="15">
      <c r="A15" s="169" t="s">
        <v>285</v>
      </c>
      <c r="B15" s="31">
        <f>'FY 0 Best'!N14</f>
        <v>0</v>
      </c>
      <c r="C15" s="31">
        <f>'FY 0 Best'!O14</f>
        <v>0</v>
      </c>
      <c r="D15" s="31">
        <f>'FY 0 Best'!P14</f>
        <v>0</v>
      </c>
      <c r="E15" s="31">
        <f>'FY 0 Best'!Q14</f>
        <v>0</v>
      </c>
      <c r="F15" s="31">
        <f>'FY 0 Best'!R14</f>
        <v>0</v>
      </c>
      <c r="G15" s="31">
        <f>'FY 0 Best'!S14</f>
        <v>0</v>
      </c>
      <c r="H15" s="61">
        <f t="shared" si="0"/>
        <v>0</v>
      </c>
      <c r="K15" s="145"/>
      <c r="L15" s="139"/>
      <c r="M15" s="139"/>
      <c r="N15" s="139"/>
      <c r="O15" s="139"/>
      <c r="P15" s="139"/>
      <c r="Q15" s="139"/>
      <c r="R15" s="139"/>
    </row>
    <row r="16" spans="1:18" ht="15">
      <c r="A16" s="169" t="s">
        <v>198</v>
      </c>
      <c r="B16" s="31">
        <f>'FY 0 Best'!N15</f>
        <v>0</v>
      </c>
      <c r="C16" s="31">
        <f>'FY 0 Best'!O15</f>
        <v>0</v>
      </c>
      <c r="D16" s="31">
        <f>'FY 0 Best'!P15</f>
        <v>0</v>
      </c>
      <c r="E16" s="31">
        <f>'FY 0 Best'!Q15</f>
        <v>0</v>
      </c>
      <c r="F16" s="31">
        <f>'FY 0 Best'!R15</f>
        <v>0</v>
      </c>
      <c r="G16" s="31">
        <f>'FY 0 Best'!S15</f>
        <v>0</v>
      </c>
      <c r="H16" s="61">
        <f t="shared" si="0"/>
        <v>0</v>
      </c>
      <c r="K16" s="145"/>
      <c r="L16" s="139"/>
      <c r="M16" s="139"/>
      <c r="N16" s="139"/>
      <c r="O16" s="139"/>
      <c r="P16" s="139"/>
      <c r="Q16" s="139"/>
      <c r="R16" s="139"/>
    </row>
    <row r="17" spans="1:18" ht="15">
      <c r="A17" s="169" t="s">
        <v>199</v>
      </c>
      <c r="B17" s="31">
        <f>'FY 0 Best'!N16</f>
        <v>0</v>
      </c>
      <c r="C17" s="31">
        <f>'FY 0 Best'!O16</f>
        <v>0</v>
      </c>
      <c r="D17" s="31">
        <f>'FY 0 Best'!P16</f>
        <v>0</v>
      </c>
      <c r="E17" s="31">
        <f>'FY 0 Best'!Q16</f>
        <v>0</v>
      </c>
      <c r="F17" s="31">
        <f>'FY 0 Best'!R16</f>
        <v>0</v>
      </c>
      <c r="G17" s="31">
        <f>'FY 0 Best'!S16</f>
        <v>0</v>
      </c>
      <c r="H17" s="61">
        <f t="shared" si="0"/>
        <v>0</v>
      </c>
      <c r="K17" s="205"/>
      <c r="L17" s="206"/>
      <c r="M17" s="206"/>
      <c r="N17" s="206"/>
      <c r="O17" s="206"/>
      <c r="P17" s="206"/>
      <c r="Q17" s="206"/>
      <c r="R17" s="206"/>
    </row>
    <row r="18" spans="1:8" ht="15">
      <c r="A18" s="169" t="s">
        <v>200</v>
      </c>
      <c r="B18" s="31">
        <f>'FY 0 Best'!N17</f>
        <v>0</v>
      </c>
      <c r="C18" s="31">
        <f>'FY 0 Best'!O17</f>
        <v>0</v>
      </c>
      <c r="D18" s="31">
        <f>'FY 0 Best'!P17</f>
        <v>0</v>
      </c>
      <c r="E18" s="31">
        <f>'FY 0 Best'!Q17</f>
        <v>0</v>
      </c>
      <c r="F18" s="31">
        <f>'FY 0 Best'!R17</f>
        <v>0</v>
      </c>
      <c r="G18" s="31">
        <f>'FY 0 Best'!S17</f>
        <v>0</v>
      </c>
      <c r="H18" s="61">
        <f t="shared" si="0"/>
        <v>0</v>
      </c>
    </row>
    <row r="19" spans="1:8" ht="15">
      <c r="A19" s="169" t="s">
        <v>201</v>
      </c>
      <c r="B19" s="31">
        <f>'FY 0 Best'!N18</f>
        <v>0</v>
      </c>
      <c r="C19" s="31">
        <f>'FY 0 Best'!O18</f>
        <v>0</v>
      </c>
      <c r="D19" s="31">
        <f>'FY 0 Best'!P18</f>
        <v>0</v>
      </c>
      <c r="E19" s="31">
        <f>'FY 0 Best'!Q18</f>
        <v>0</v>
      </c>
      <c r="F19" s="31">
        <f>'FY 0 Best'!R18</f>
        <v>0</v>
      </c>
      <c r="G19" s="31">
        <f>'FY 0 Best'!S18</f>
        <v>0</v>
      </c>
      <c r="H19" s="61">
        <f t="shared" si="0"/>
        <v>0</v>
      </c>
    </row>
    <row r="20" spans="1:8" ht="15">
      <c r="A20" s="169" t="s">
        <v>203</v>
      </c>
      <c r="B20" s="31">
        <f>'FY 0 Best'!N19</f>
        <v>0</v>
      </c>
      <c r="C20" s="31">
        <f>'FY 0 Best'!O19</f>
        <v>0</v>
      </c>
      <c r="D20" s="31">
        <f>'FY 0 Best'!P19</f>
        <v>0</v>
      </c>
      <c r="E20" s="31">
        <f>'FY 0 Best'!Q19</f>
        <v>0</v>
      </c>
      <c r="F20" s="31">
        <f>'FY 0 Best'!R19</f>
        <v>0</v>
      </c>
      <c r="G20" s="31">
        <f>'FY 0 Best'!S19</f>
        <v>0</v>
      </c>
      <c r="H20" s="61">
        <f t="shared" si="0"/>
        <v>0</v>
      </c>
    </row>
    <row r="21" spans="1:8" ht="15">
      <c r="A21" s="169" t="s">
        <v>202</v>
      </c>
      <c r="B21" s="31">
        <f>'FY 0 Best'!N20</f>
        <v>0</v>
      </c>
      <c r="C21" s="31">
        <f>'FY 0 Best'!O20</f>
        <v>0</v>
      </c>
      <c r="D21" s="31">
        <f>'FY 0 Best'!P20</f>
        <v>0</v>
      </c>
      <c r="E21" s="31">
        <f>'FY 0 Best'!Q20</f>
        <v>0</v>
      </c>
      <c r="F21" s="31">
        <f>'FY 0 Best'!R20</f>
        <v>0</v>
      </c>
      <c r="G21" s="31">
        <f>'FY 0 Best'!S20</f>
        <v>0</v>
      </c>
      <c r="H21" s="61">
        <f t="shared" si="0"/>
        <v>0</v>
      </c>
    </row>
    <row r="22" spans="1:8" ht="15">
      <c r="A22" s="169" t="s">
        <v>286</v>
      </c>
      <c r="B22" s="31">
        <f>'FY 0 Best'!N21</f>
        <v>132000</v>
      </c>
      <c r="C22" s="31">
        <f>'FY 0 Best'!O21</f>
        <v>0</v>
      </c>
      <c r="D22" s="31">
        <f>'FY 0 Best'!P21</f>
        <v>0</v>
      </c>
      <c r="E22" s="31">
        <f>'FY 0 Best'!Q21</f>
        <v>0</v>
      </c>
      <c r="F22" s="31">
        <f>'FY 0 Best'!R21</f>
        <v>0</v>
      </c>
      <c r="G22" s="31">
        <f>'FY 0 Best'!S21</f>
        <v>0</v>
      </c>
      <c r="H22" s="61">
        <f t="shared" si="0"/>
        <v>132000</v>
      </c>
    </row>
    <row r="23" spans="1:8" ht="15">
      <c r="A23" s="169" t="s">
        <v>67</v>
      </c>
      <c r="B23" s="31">
        <f>'FY 0 Best'!N22</f>
        <v>33000</v>
      </c>
      <c r="C23" s="31">
        <f>'FY 0 Best'!O22</f>
        <v>0</v>
      </c>
      <c r="D23" s="31">
        <f>'FY 0 Best'!P22</f>
        <v>0</v>
      </c>
      <c r="E23" s="31">
        <f>'FY 0 Best'!Q22</f>
        <v>0</v>
      </c>
      <c r="F23" s="31">
        <f>'FY 0 Best'!R22</f>
        <v>0</v>
      </c>
      <c r="G23" s="31">
        <f>'FY 0 Best'!S22</f>
        <v>0</v>
      </c>
      <c r="H23" s="61">
        <f t="shared" si="0"/>
        <v>33000</v>
      </c>
    </row>
    <row r="24" spans="1:8" ht="15">
      <c r="A24" s="169" t="s">
        <v>43</v>
      </c>
      <c r="B24" s="31">
        <f>'FY 0 Best'!N23</f>
        <v>0</v>
      </c>
      <c r="C24" s="31">
        <f>'FY 0 Best'!O23</f>
        <v>0</v>
      </c>
      <c r="D24" s="31">
        <f>'FY 0 Best'!P23</f>
        <v>0</v>
      </c>
      <c r="E24" s="31">
        <f>'FY 0 Best'!Q23</f>
        <v>0</v>
      </c>
      <c r="F24" s="31">
        <f>'FY 0 Best'!R23</f>
        <v>0</v>
      </c>
      <c r="G24" s="31">
        <f>'FY 0 Best'!S23</f>
        <v>0</v>
      </c>
      <c r="H24" s="61">
        <f t="shared" si="0"/>
        <v>0</v>
      </c>
    </row>
    <row r="25" spans="1:8" ht="15">
      <c r="A25" s="169" t="s">
        <v>62</v>
      </c>
      <c r="B25" s="31">
        <f>'FY 0 Best'!N24</f>
        <v>0</v>
      </c>
      <c r="C25" s="31">
        <f>'FY 0 Best'!O24</f>
        <v>0</v>
      </c>
      <c r="D25" s="31">
        <f>'FY 0 Best'!P24</f>
        <v>0</v>
      </c>
      <c r="E25" s="31">
        <f>'FY 0 Best'!Q24</f>
        <v>0</v>
      </c>
      <c r="F25" s="31">
        <f>'FY 0 Best'!R24</f>
        <v>0</v>
      </c>
      <c r="G25" s="31">
        <f>'FY 0 Best'!S24</f>
        <v>0</v>
      </c>
      <c r="H25" s="61">
        <f t="shared" si="0"/>
        <v>0</v>
      </c>
    </row>
    <row r="26" spans="1:8" ht="15">
      <c r="A26" s="169" t="s">
        <v>96</v>
      </c>
      <c r="B26" s="31">
        <f>'FY 0 Best'!N25</f>
        <v>42000</v>
      </c>
      <c r="C26" s="31">
        <f>'FY 0 Best'!O25</f>
        <v>0</v>
      </c>
      <c r="D26" s="31">
        <f>'FY 0 Best'!P25</f>
        <v>0</v>
      </c>
      <c r="E26" s="31">
        <f>'FY 0 Best'!Q25</f>
        <v>0</v>
      </c>
      <c r="F26" s="31">
        <f>'FY 0 Best'!R25</f>
        <v>0</v>
      </c>
      <c r="G26" s="31">
        <f>'FY 0 Best'!S25</f>
        <v>0</v>
      </c>
      <c r="H26" s="61">
        <f t="shared" si="0"/>
        <v>42000</v>
      </c>
    </row>
    <row r="27" spans="1:8" ht="15">
      <c r="A27" s="169" t="s">
        <v>45</v>
      </c>
      <c r="B27" s="31">
        <f>'FY 0 Best'!N26</f>
        <v>6000</v>
      </c>
      <c r="C27" s="31">
        <f>'FY 0 Best'!O26</f>
        <v>0</v>
      </c>
      <c r="D27" s="31">
        <f>'FY 0 Best'!P26</f>
        <v>0</v>
      </c>
      <c r="E27" s="31">
        <f>'FY 0 Best'!Q26</f>
        <v>0</v>
      </c>
      <c r="F27" s="31">
        <f>'FY 0 Best'!R26</f>
        <v>0</v>
      </c>
      <c r="G27" s="31">
        <f>'FY 0 Best'!S26</f>
        <v>0</v>
      </c>
      <c r="H27" s="61">
        <f t="shared" si="0"/>
        <v>6000</v>
      </c>
    </row>
    <row r="28" spans="1:8" ht="15">
      <c r="A28" s="169" t="s">
        <v>46</v>
      </c>
      <c r="B28" s="31">
        <f>'FY 0 Best'!N27</f>
        <v>3000</v>
      </c>
      <c r="C28" s="31">
        <f>'FY 0 Best'!O27</f>
        <v>0</v>
      </c>
      <c r="D28" s="31">
        <f>'FY 0 Best'!P27</f>
        <v>0</v>
      </c>
      <c r="E28" s="31">
        <f>'FY 0 Best'!Q27</f>
        <v>0</v>
      </c>
      <c r="F28" s="31">
        <f>'FY 0 Best'!R27</f>
        <v>0</v>
      </c>
      <c r="G28" s="31">
        <f>'FY 0 Best'!S27</f>
        <v>0</v>
      </c>
      <c r="H28" s="61">
        <f t="shared" si="0"/>
        <v>3000</v>
      </c>
    </row>
    <row r="29" spans="1:8" ht="15">
      <c r="A29" s="169" t="s">
        <v>48</v>
      </c>
      <c r="B29" s="31">
        <f>'FY 0 Best'!N28</f>
        <v>18000</v>
      </c>
      <c r="C29" s="31">
        <f>'FY 0 Best'!O28</f>
        <v>0</v>
      </c>
      <c r="D29" s="31">
        <f>'FY 0 Best'!P28</f>
        <v>0</v>
      </c>
      <c r="E29" s="31">
        <f>'FY 0 Best'!Q28</f>
        <v>0</v>
      </c>
      <c r="F29" s="31">
        <f>'FY 0 Best'!R28</f>
        <v>0</v>
      </c>
      <c r="G29" s="31">
        <f>'FY 0 Best'!S28</f>
        <v>0</v>
      </c>
      <c r="H29" s="61">
        <f t="shared" si="0"/>
        <v>18000</v>
      </c>
    </row>
    <row r="30" spans="1:8" ht="15">
      <c r="A30" s="169" t="s">
        <v>50</v>
      </c>
      <c r="B30" s="31">
        <f>'FY 0 Best'!N29</f>
        <v>0</v>
      </c>
      <c r="C30" s="31">
        <f>'FY 0 Best'!O29</f>
        <v>0</v>
      </c>
      <c r="D30" s="31">
        <f>'FY 0 Best'!P29</f>
        <v>0</v>
      </c>
      <c r="E30" s="31">
        <f>'FY 0 Best'!Q29</f>
        <v>0</v>
      </c>
      <c r="F30" s="31">
        <f>'FY 0 Best'!R29</f>
        <v>0</v>
      </c>
      <c r="G30" s="31">
        <f>'FY 0 Best'!S29</f>
        <v>0</v>
      </c>
      <c r="H30" s="61">
        <f t="shared" si="0"/>
        <v>0</v>
      </c>
    </row>
    <row r="31" spans="1:8" ht="15">
      <c r="A31" s="169" t="s">
        <v>204</v>
      </c>
      <c r="B31" s="31">
        <f>'FY 0 Best'!N30</f>
        <v>0</v>
      </c>
      <c r="C31" s="31">
        <f>'FY 0 Best'!O30</f>
        <v>0</v>
      </c>
      <c r="D31" s="31">
        <f>'FY 0 Best'!P30</f>
        <v>0</v>
      </c>
      <c r="E31" s="31">
        <f>'FY 0 Best'!Q30</f>
        <v>0</v>
      </c>
      <c r="F31" s="31">
        <f>'FY 0 Best'!R30</f>
        <v>0</v>
      </c>
      <c r="G31" s="31">
        <f>'FY 0 Best'!S30</f>
        <v>0</v>
      </c>
      <c r="H31" s="61">
        <f>SUM(B31:G31)</f>
        <v>0</v>
      </c>
    </row>
    <row r="32" spans="1:8" ht="15">
      <c r="A32" s="169" t="s">
        <v>214</v>
      </c>
      <c r="B32" s="31">
        <f>'FY 0 Best'!N31</f>
        <v>0</v>
      </c>
      <c r="C32" s="31">
        <f>'FY 0 Best'!O31</f>
        <v>0</v>
      </c>
      <c r="D32" s="31">
        <f>'FY 0 Best'!P31</f>
        <v>0</v>
      </c>
      <c r="E32" s="31">
        <f>'FY 0 Best'!Q31</f>
        <v>0</v>
      </c>
      <c r="F32" s="31">
        <f>'FY 0 Best'!R31</f>
        <v>0</v>
      </c>
      <c r="G32" s="31">
        <f>'FY 0 Best'!S31</f>
        <v>0</v>
      </c>
      <c r="H32" s="61">
        <f t="shared" si="0"/>
        <v>0</v>
      </c>
    </row>
    <row r="33" spans="1:8" ht="15">
      <c r="A33" s="170" t="s">
        <v>59</v>
      </c>
      <c r="B33" s="31">
        <f>'FY 0 Best'!N32</f>
        <v>0</v>
      </c>
      <c r="C33" s="31">
        <f>'FY 0 Best'!O32</f>
        <v>0</v>
      </c>
      <c r="D33" s="31">
        <f>'FY 0 Best'!P32</f>
        <v>0</v>
      </c>
      <c r="E33" s="31">
        <f>'FY 0 Best'!Q32</f>
        <v>0</v>
      </c>
      <c r="F33" s="31">
        <f>'FY 0 Best'!R32</f>
        <v>0</v>
      </c>
      <c r="G33" s="31">
        <f>'FY 0 Best'!S32</f>
        <v>0</v>
      </c>
      <c r="H33" s="61">
        <f t="shared" si="0"/>
        <v>0</v>
      </c>
    </row>
    <row r="34" spans="1:8" ht="15.75" thickBot="1">
      <c r="A34" s="170" t="s">
        <v>58</v>
      </c>
      <c r="B34" s="31">
        <f>'FY 0 Best'!N33</f>
        <v>0</v>
      </c>
      <c r="C34" s="31">
        <f>'FY 0 Best'!O33</f>
        <v>0</v>
      </c>
      <c r="D34" s="31">
        <f>'FY 0 Best'!P33</f>
        <v>0</v>
      </c>
      <c r="E34" s="31">
        <f>'FY 0 Best'!Q33</f>
        <v>0</v>
      </c>
      <c r="F34" s="31">
        <f>'FY 0 Best'!R33</f>
        <v>0</v>
      </c>
      <c r="G34" s="31">
        <f>'FY 0 Best'!S33</f>
        <v>0</v>
      </c>
      <c r="H34" s="61">
        <f>SUM(B34:G34)</f>
        <v>0</v>
      </c>
    </row>
    <row r="35" spans="1:8" ht="15.75" thickBot="1">
      <c r="A35" s="171" t="s">
        <v>94</v>
      </c>
      <c r="B35" s="34">
        <f>'FY 0 Best'!N34-B12</f>
        <v>-335000</v>
      </c>
      <c r="C35" s="34">
        <f>'FY 1 Best'!N34-C12</f>
        <v>-608443.5273500001</v>
      </c>
      <c r="D35" s="34">
        <f>'FY 2 Best'!N34-D12</f>
        <v>555846.7260330243</v>
      </c>
      <c r="E35" s="34">
        <f>'FY 3 Best'!N34-E12</f>
        <v>3075238.776832016</v>
      </c>
      <c r="F35" s="34">
        <f>'FY 4 Best'!N34-F12</f>
        <v>7045237.802510079</v>
      </c>
      <c r="G35" s="34">
        <f>'FY 5 Best'!N34+G12</f>
        <v>12425851.49329758</v>
      </c>
      <c r="H35" s="135">
        <f t="shared" si="0"/>
        <v>22158731.2713227</v>
      </c>
    </row>
    <row r="38" spans="1:18" ht="15">
      <c r="A38" s="247" t="s">
        <v>295</v>
      </c>
      <c r="B38" s="247"/>
      <c r="C38" s="247"/>
      <c r="D38" s="247"/>
      <c r="E38" s="247"/>
      <c r="F38" s="247"/>
      <c r="G38" s="247"/>
      <c r="H38" s="247"/>
      <c r="I38" s="230"/>
      <c r="J38" s="230"/>
      <c r="K38" s="230"/>
      <c r="L38" s="230"/>
      <c r="M38" s="230"/>
      <c r="N38" s="230"/>
      <c r="O38" s="230"/>
      <c r="P38" s="230"/>
      <c r="Q38" s="230"/>
      <c r="R38" s="230"/>
    </row>
    <row r="39" spans="1:18" ht="15">
      <c r="A39" s="247"/>
      <c r="B39" s="247"/>
      <c r="C39" s="247"/>
      <c r="D39" s="247"/>
      <c r="E39" s="247"/>
      <c r="F39" s="247"/>
      <c r="G39" s="247"/>
      <c r="H39" s="247"/>
      <c r="I39" s="230"/>
      <c r="J39" s="230"/>
      <c r="K39" s="230"/>
      <c r="L39" s="230"/>
      <c r="M39" s="230"/>
      <c r="N39" s="230"/>
      <c r="O39" s="230"/>
      <c r="P39" s="230"/>
      <c r="Q39" s="230"/>
      <c r="R39" s="230"/>
    </row>
    <row r="40" spans="1:18" ht="15">
      <c r="A40" s="247"/>
      <c r="B40" s="247"/>
      <c r="C40" s="247"/>
      <c r="D40" s="247"/>
      <c r="E40" s="247"/>
      <c r="F40" s="247"/>
      <c r="G40" s="247"/>
      <c r="H40" s="247"/>
      <c r="I40" s="230"/>
      <c r="J40" s="230"/>
      <c r="K40" s="230"/>
      <c r="L40" s="230"/>
      <c r="M40" s="230"/>
      <c r="N40" s="230"/>
      <c r="O40" s="230"/>
      <c r="P40" s="230"/>
      <c r="Q40" s="230"/>
      <c r="R40" s="230"/>
    </row>
    <row r="41" spans="1:18" ht="15">
      <c r="A41" s="247"/>
      <c r="B41" s="247"/>
      <c r="C41" s="247"/>
      <c r="D41" s="247"/>
      <c r="E41" s="247"/>
      <c r="F41" s="247"/>
      <c r="G41" s="247"/>
      <c r="H41" s="247"/>
      <c r="I41" s="230"/>
      <c r="J41" s="230"/>
      <c r="K41" s="230"/>
      <c r="L41" s="230"/>
      <c r="M41" s="230"/>
      <c r="N41" s="230"/>
      <c r="O41" s="230"/>
      <c r="P41" s="230"/>
      <c r="Q41" s="230"/>
      <c r="R41" s="230"/>
    </row>
    <row r="42" spans="1:18" ht="15">
      <c r="A42" s="247"/>
      <c r="B42" s="247"/>
      <c r="C42" s="247"/>
      <c r="D42" s="247"/>
      <c r="E42" s="247"/>
      <c r="F42" s="247"/>
      <c r="G42" s="247"/>
      <c r="H42" s="247"/>
      <c r="I42" s="230"/>
      <c r="J42" s="230"/>
      <c r="K42" s="230"/>
      <c r="L42" s="230"/>
      <c r="M42" s="230"/>
      <c r="N42" s="230"/>
      <c r="O42" s="230"/>
      <c r="P42" s="230"/>
      <c r="Q42" s="230"/>
      <c r="R42" s="230"/>
    </row>
    <row r="43" spans="1:18" ht="15">
      <c r="A43" s="247"/>
      <c r="B43" s="247"/>
      <c r="C43" s="247"/>
      <c r="D43" s="247"/>
      <c r="E43" s="247"/>
      <c r="F43" s="247"/>
      <c r="G43" s="247"/>
      <c r="H43" s="247"/>
      <c r="I43" s="230"/>
      <c r="J43" s="230"/>
      <c r="K43" s="230"/>
      <c r="L43" s="230"/>
      <c r="M43" s="230"/>
      <c r="N43" s="230"/>
      <c r="O43" s="230"/>
      <c r="P43" s="230"/>
      <c r="Q43" s="230"/>
      <c r="R43" s="230"/>
    </row>
    <row r="44" spans="1:18" ht="15">
      <c r="A44" s="247"/>
      <c r="B44" s="247"/>
      <c r="C44" s="247"/>
      <c r="D44" s="247"/>
      <c r="E44" s="247"/>
      <c r="F44" s="247"/>
      <c r="G44" s="247"/>
      <c r="H44" s="247"/>
      <c r="I44" s="230"/>
      <c r="J44" s="230"/>
      <c r="K44" s="230"/>
      <c r="L44" s="230"/>
      <c r="M44" s="230"/>
      <c r="N44" s="230"/>
      <c r="O44" s="230"/>
      <c r="P44" s="230"/>
      <c r="Q44" s="230"/>
      <c r="R44" s="230"/>
    </row>
    <row r="45" spans="1:18" ht="15">
      <c r="A45" s="230"/>
      <c r="B45" s="230"/>
      <c r="C45" s="230"/>
      <c r="D45" s="230"/>
      <c r="E45" s="230"/>
      <c r="F45" s="230"/>
      <c r="G45" s="230"/>
      <c r="H45" s="230"/>
      <c r="I45" s="230"/>
      <c r="J45" s="230"/>
      <c r="K45" s="230"/>
      <c r="L45" s="230"/>
      <c r="M45" s="230"/>
      <c r="N45" s="230"/>
      <c r="O45" s="230"/>
      <c r="P45" s="230"/>
      <c r="Q45" s="230"/>
      <c r="R45" s="230"/>
    </row>
    <row r="46" spans="1:18" ht="15">
      <c r="A46" s="230"/>
      <c r="B46" s="248" t="s">
        <v>288</v>
      </c>
      <c r="C46" s="248"/>
      <c r="D46" s="248"/>
      <c r="E46" s="248"/>
      <c r="F46" s="248"/>
      <c r="G46" s="248"/>
      <c r="H46" s="230"/>
      <c r="I46" s="230"/>
      <c r="J46" s="230"/>
      <c r="K46" s="230"/>
      <c r="L46" s="230"/>
      <c r="M46" s="230"/>
      <c r="N46" s="230"/>
      <c r="O46" s="230"/>
      <c r="P46" s="230"/>
      <c r="Q46" s="230"/>
      <c r="R46" s="230"/>
    </row>
  </sheetData>
  <sheetProtection password="DC55" sheet="1" objects="1" scenarios="1" formatCells="0" formatColumns="0" formatRows="0" insertColumns="0" insertRows="0" insertHyperlinks="0" deleteColumns="0" deleteRows="0" selectLockedCells="1" sort="0"/>
  <mergeCells count="2">
    <mergeCell ref="A38:H44"/>
    <mergeCell ref="B46:G46"/>
  </mergeCells>
  <printOptions/>
  <pageMargins left="0.75" right="0.75" top="1" bottom="1" header="0.5" footer="0.5"/>
  <pageSetup fitToHeight="1" fitToWidth="1" horizontalDpi="300" verticalDpi="300" orientation="landscape" scale="69" r:id="rId3"/>
  <headerFooter alignWithMargins="0">
    <oddHeader>&amp;C&amp;"-,Bold"&amp;36&amp;UProject Victories Project Selection Tool</oddHeader>
    <oddFooter>&amp;CCopyright The Volpe Consortium, Inc.</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47"/>
  <sheetViews>
    <sheetView view="pageLayout" workbookViewId="0" topLeftCell="A1">
      <selection activeCell="A2" sqref="A2"/>
    </sheetView>
  </sheetViews>
  <sheetFormatPr defaultColWidth="9.140625" defaultRowHeight="15"/>
  <cols>
    <col min="1" max="1" width="28.140625" style="0" customWidth="1"/>
    <col min="2" max="2" width="14.28125" style="0" bestFit="1" customWidth="1"/>
    <col min="3" max="4" width="15.003906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57"/>
      <c r="B1" s="101" t="s">
        <v>15</v>
      </c>
      <c r="C1" s="101" t="s">
        <v>35</v>
      </c>
      <c r="D1" s="101" t="s">
        <v>54</v>
      </c>
      <c r="E1" s="125"/>
      <c r="F1" s="125"/>
      <c r="G1" s="125"/>
      <c r="H1" s="126"/>
      <c r="K1" s="199"/>
      <c r="L1" s="199"/>
      <c r="M1" s="199"/>
      <c r="N1" s="199"/>
      <c r="O1" s="199"/>
      <c r="P1" s="199"/>
      <c r="Q1" s="199"/>
      <c r="R1" s="207"/>
    </row>
    <row r="2" spans="1:18" ht="18.75">
      <c r="A2" s="169" t="s">
        <v>281</v>
      </c>
      <c r="B2" s="172">
        <f>Calcs!E22</f>
        <v>11.504463131543012</v>
      </c>
      <c r="C2" s="172">
        <f>Calcs!F22</f>
        <v>4.995536868456988</v>
      </c>
      <c r="D2" s="122">
        <f>B2+C2</f>
        <v>16.5</v>
      </c>
      <c r="E2" s="74"/>
      <c r="F2" s="74"/>
      <c r="G2" s="74"/>
      <c r="H2" s="75"/>
      <c r="K2" s="199"/>
      <c r="L2" s="199"/>
      <c r="M2" s="199"/>
      <c r="N2" s="199"/>
      <c r="O2" s="199"/>
      <c r="P2" s="199"/>
      <c r="Q2" s="199"/>
      <c r="R2" s="200"/>
    </row>
    <row r="3" spans="1:18" ht="15">
      <c r="A3" s="169" t="s">
        <v>282</v>
      </c>
      <c r="B3" s="172">
        <f>Calcs!E23</f>
        <v>138</v>
      </c>
      <c r="C3" s="172">
        <f>Calcs!F23</f>
        <v>60</v>
      </c>
      <c r="D3" s="122">
        <f>SUM(B3:C3)</f>
        <v>198</v>
      </c>
      <c r="E3" s="74"/>
      <c r="F3" s="74"/>
      <c r="G3" s="74"/>
      <c r="H3" s="75"/>
      <c r="K3" s="201"/>
      <c r="L3" s="202"/>
      <c r="M3" s="202"/>
      <c r="N3" s="202"/>
      <c r="O3" s="202"/>
      <c r="P3" s="202"/>
      <c r="Q3" s="202"/>
      <c r="R3" s="202"/>
    </row>
    <row r="4" spans="1:18" ht="15">
      <c r="A4" s="169" t="s">
        <v>283</v>
      </c>
      <c r="B4" s="177">
        <v>0</v>
      </c>
      <c r="C4" s="177">
        <v>1</v>
      </c>
      <c r="D4" s="177">
        <v>2</v>
      </c>
      <c r="E4" s="177">
        <v>3</v>
      </c>
      <c r="F4" s="177">
        <v>6</v>
      </c>
      <c r="G4" s="177">
        <v>8</v>
      </c>
      <c r="H4" s="198"/>
      <c r="K4" s="145"/>
      <c r="L4" s="203"/>
      <c r="M4" s="203"/>
      <c r="N4" s="203"/>
      <c r="O4" s="203"/>
      <c r="P4" s="203"/>
      <c r="Q4" s="203"/>
      <c r="R4" s="203"/>
    </row>
    <row r="5" spans="1:18" ht="15">
      <c r="A5" s="169" t="s">
        <v>284</v>
      </c>
      <c r="B5" s="123">
        <f>'FY 0 Most Likely'!N5</f>
        <v>0</v>
      </c>
      <c r="C5" s="123">
        <f>'FY 1 Most Likely'!N5</f>
        <v>4694.7</v>
      </c>
      <c r="D5" s="123">
        <f>'FY 2 Most Likely'!N5</f>
        <v>28620.083865520857</v>
      </c>
      <c r="E5" s="123">
        <f>'FY 3 Most Likely'!N5</f>
        <v>63818.95629373289</v>
      </c>
      <c r="F5" s="123">
        <f>'FY 4 Most Likely'!N5</f>
        <v>114609.67638023001</v>
      </c>
      <c r="G5" s="123">
        <f>'FY 5 Most Likely'!N5</f>
        <v>180019.95112083972</v>
      </c>
      <c r="H5" s="32">
        <f>SUM(B5:G5)</f>
        <v>391763.3676603235</v>
      </c>
      <c r="K5" s="145"/>
      <c r="L5" s="145"/>
      <c r="M5" s="145"/>
      <c r="N5" s="145"/>
      <c r="O5" s="145"/>
      <c r="P5" s="145"/>
      <c r="Q5" s="145"/>
      <c r="R5" s="139"/>
    </row>
    <row r="6" spans="1:18" ht="15">
      <c r="A6" s="169" t="s">
        <v>68</v>
      </c>
      <c r="B6" s="174" t="s">
        <v>75</v>
      </c>
      <c r="C6" s="174" t="s">
        <v>69</v>
      </c>
      <c r="D6" s="174" t="s">
        <v>73</v>
      </c>
      <c r="E6" s="174" t="s">
        <v>74</v>
      </c>
      <c r="F6" s="174" t="s">
        <v>76</v>
      </c>
      <c r="G6" s="174" t="s">
        <v>77</v>
      </c>
      <c r="H6" s="194" t="s">
        <v>216</v>
      </c>
      <c r="K6" s="145"/>
      <c r="L6" s="203"/>
      <c r="M6" s="203"/>
      <c r="N6" s="203"/>
      <c r="O6" s="203"/>
      <c r="P6" s="203"/>
      <c r="Q6" s="203"/>
      <c r="R6" s="203"/>
    </row>
    <row r="7" spans="1:18" ht="15">
      <c r="A7" s="169" t="s">
        <v>55</v>
      </c>
      <c r="B7" s="31">
        <f>'FY 0 Most Likely'!N7</f>
        <v>0</v>
      </c>
      <c r="C7" s="31">
        <f>'FY 1 Most Likely'!N7</f>
        <v>929550.5999999999</v>
      </c>
      <c r="D7" s="31">
        <f>'FY 2 Most Likely'!N7</f>
        <v>5666776.605373129</v>
      </c>
      <c r="E7" s="31">
        <f>'FY 3 Most Likely'!N7</f>
        <v>12636153.346159112</v>
      </c>
      <c r="F7" s="31">
        <f>'FY 4 Most Likely'!N7</f>
        <v>22692715.923285548</v>
      </c>
      <c r="G7" s="31">
        <f>'FY 5 Most Likely'!N7</f>
        <v>35643950.32192627</v>
      </c>
      <c r="H7" s="32">
        <f>SUM(B7:G7)</f>
        <v>77569146.79674405</v>
      </c>
      <c r="K7" s="145"/>
      <c r="L7" s="203"/>
      <c r="M7" s="203"/>
      <c r="N7" s="203"/>
      <c r="O7" s="203"/>
      <c r="P7" s="203"/>
      <c r="Q7" s="203"/>
      <c r="R7" s="202"/>
    </row>
    <row r="8" spans="1:18" ht="15">
      <c r="A8" s="193"/>
      <c r="B8" s="36"/>
      <c r="C8" s="36"/>
      <c r="D8" s="36"/>
      <c r="E8" s="36"/>
      <c r="F8" s="36"/>
      <c r="G8" s="36"/>
      <c r="H8" s="37"/>
      <c r="K8" s="145"/>
      <c r="L8" s="203"/>
      <c r="M8" s="203"/>
      <c r="N8" s="203"/>
      <c r="O8" s="203"/>
      <c r="P8" s="203"/>
      <c r="Q8" s="203"/>
      <c r="R8" s="203"/>
    </row>
    <row r="9" spans="1:18" ht="15">
      <c r="A9" s="169" t="s">
        <v>56</v>
      </c>
      <c r="B9" s="31">
        <f>'FY 0 Most Likely'!N9</f>
        <v>0</v>
      </c>
      <c r="C9" s="31">
        <f>'FY 1 Most Likely'!N9</f>
        <v>647868.6</v>
      </c>
      <c r="D9" s="31">
        <f>'FY 2 Most Likely'!N9</f>
        <v>3949571.573441878</v>
      </c>
      <c r="E9" s="31">
        <f>'FY 3 Most Likely'!N9</f>
        <v>8807015.96853514</v>
      </c>
      <c r="F9" s="31">
        <f>'FY 4 Most Likely'!N9</f>
        <v>15816135.340471746</v>
      </c>
      <c r="G9" s="31">
        <f>'FY 5 Most Likely'!N9</f>
        <v>24842753.254675884</v>
      </c>
      <c r="H9" s="32">
        <f>SUM(B9:G9)</f>
        <v>54063344.73712465</v>
      </c>
      <c r="K9" s="145"/>
      <c r="L9" s="203"/>
      <c r="M9" s="203"/>
      <c r="N9" s="203"/>
      <c r="O9" s="203"/>
      <c r="P9" s="203"/>
      <c r="Q9" s="203"/>
      <c r="R9" s="203"/>
    </row>
    <row r="10" spans="1:18" ht="15">
      <c r="A10" s="169" t="s">
        <v>215</v>
      </c>
      <c r="B10" s="31">
        <f>'FY 0 Most Likely'!N10</f>
        <v>25000</v>
      </c>
      <c r="C10" s="31">
        <f>'FY 1 Most Likely'!N10</f>
        <v>0</v>
      </c>
      <c r="D10" s="31">
        <f>'FY 2 Most Likely'!N10</f>
        <v>0</v>
      </c>
      <c r="E10" s="31">
        <f>'FY 3 Most Likely'!N10</f>
        <v>0</v>
      </c>
      <c r="F10" s="31">
        <f>'FY 4 Most Likely'!N10</f>
        <v>0</v>
      </c>
      <c r="G10" s="31">
        <f>'FY 5 Most Likely'!N10</f>
        <v>0</v>
      </c>
      <c r="H10" s="32">
        <f aca="true" t="shared" si="0" ref="H10:H32">SUM(B10:G10)</f>
        <v>25000</v>
      </c>
      <c r="K10" s="145"/>
      <c r="L10" s="204"/>
      <c r="M10" s="204"/>
      <c r="N10" s="204"/>
      <c r="O10" s="204"/>
      <c r="P10" s="204"/>
      <c r="Q10" s="204"/>
      <c r="R10" s="204"/>
    </row>
    <row r="11" spans="1:18" ht="15">
      <c r="A11" s="169" t="s">
        <v>194</v>
      </c>
      <c r="B11" s="31">
        <f>'FY 0 Most Likely'!N11</f>
        <v>0</v>
      </c>
      <c r="C11" s="31">
        <f>'FY 1 Most Likely'!N11</f>
        <v>200000</v>
      </c>
      <c r="D11" s="31">
        <f>'FY 2 Most Likely'!N11</f>
        <v>200000</v>
      </c>
      <c r="E11" s="31">
        <f>'FY 3 Most Likely'!N11</f>
        <v>400000</v>
      </c>
      <c r="F11" s="31">
        <f>'FY 4 Most Likely'!N11</f>
        <v>400000</v>
      </c>
      <c r="G11" s="31">
        <f>'FY 5 Most Likely'!N11</f>
        <v>400000</v>
      </c>
      <c r="H11" s="32">
        <f t="shared" si="0"/>
        <v>1600000</v>
      </c>
      <c r="K11" s="145"/>
      <c r="L11" s="139"/>
      <c r="M11" s="139"/>
      <c r="N11" s="139"/>
      <c r="O11" s="139"/>
      <c r="P11" s="139"/>
      <c r="Q11" s="139"/>
      <c r="R11" s="139"/>
    </row>
    <row r="12" spans="1:18" ht="15">
      <c r="A12" s="169" t="s">
        <v>208</v>
      </c>
      <c r="B12" s="31">
        <f>'FY 0 Most Likely'!N12</f>
        <v>0</v>
      </c>
      <c r="C12" s="31">
        <f>'FY 1 Most Likely'!N12</f>
        <v>0</v>
      </c>
      <c r="D12" s="31">
        <f>'FY 2 Most Likely'!N12</f>
        <v>0</v>
      </c>
      <c r="E12" s="31">
        <f>'FY 3 Most Likely'!N12</f>
        <v>0</v>
      </c>
      <c r="F12" s="31">
        <f>'FY 4 Most Likely'!N12</f>
        <v>0</v>
      </c>
      <c r="G12" s="31">
        <f>'FY 5 Most Likely'!N12</f>
        <v>0</v>
      </c>
      <c r="H12" s="32">
        <f t="shared" si="0"/>
        <v>0</v>
      </c>
      <c r="K12" s="145"/>
      <c r="L12" s="139"/>
      <c r="M12" s="139"/>
      <c r="N12" s="139"/>
      <c r="O12" s="139"/>
      <c r="P12" s="139"/>
      <c r="Q12" s="139"/>
      <c r="R12" s="139"/>
    </row>
    <row r="13" spans="1:18" ht="15">
      <c r="A13" s="169" t="s">
        <v>47</v>
      </c>
      <c r="B13" s="31">
        <f>'FY 0 Most Likely'!N13</f>
        <v>36000</v>
      </c>
      <c r="C13" s="31">
        <f>'FY 1 Most Likely'!N13</f>
        <v>36000</v>
      </c>
      <c r="D13" s="31">
        <f>'FY 2 Most Likely'!N13</f>
        <v>212000</v>
      </c>
      <c r="E13" s="31">
        <f>'FY 3 Most Likely'!N13</f>
        <v>300000</v>
      </c>
      <c r="F13" s="31">
        <f>'FY 4 Most Likely'!N13</f>
        <v>300000</v>
      </c>
      <c r="G13" s="31">
        <f>'FY 5 Most Likely'!N13</f>
        <v>300000</v>
      </c>
      <c r="H13" s="32">
        <f t="shared" si="0"/>
        <v>1184000</v>
      </c>
      <c r="K13" s="145"/>
      <c r="L13" s="139"/>
      <c r="M13" s="139"/>
      <c r="N13" s="139"/>
      <c r="O13" s="139"/>
      <c r="P13" s="139"/>
      <c r="Q13" s="139"/>
      <c r="R13" s="139"/>
    </row>
    <row r="14" spans="1:18" ht="15">
      <c r="A14" s="169" t="s">
        <v>285</v>
      </c>
      <c r="B14" s="31">
        <f>'FY 0 Most Likely'!N14</f>
        <v>0</v>
      </c>
      <c r="C14" s="31">
        <f>'FY 1 Most Likely'!N14</f>
        <v>10000</v>
      </c>
      <c r="D14" s="31">
        <f>'FY 2 Most Likely'!N14</f>
        <v>0</v>
      </c>
      <c r="E14" s="31">
        <f>'FY 3 Most Likely'!N14</f>
        <v>0</v>
      </c>
      <c r="F14" s="31">
        <f>'FY 4 Most Likely'!N14</f>
        <v>0</v>
      </c>
      <c r="G14" s="31">
        <f>'FY 5 Most Likely'!N14</f>
        <v>0</v>
      </c>
      <c r="H14" s="32">
        <f t="shared" si="0"/>
        <v>10000</v>
      </c>
      <c r="K14" s="145"/>
      <c r="L14" s="139"/>
      <c r="M14" s="139"/>
      <c r="N14" s="139"/>
      <c r="O14" s="139"/>
      <c r="P14" s="139"/>
      <c r="Q14" s="139"/>
      <c r="R14" s="139"/>
    </row>
    <row r="15" spans="1:18" ht="15">
      <c r="A15" s="169" t="s">
        <v>198</v>
      </c>
      <c r="B15" s="31">
        <f>'FY 0 Most Likely'!N15</f>
        <v>0</v>
      </c>
      <c r="C15" s="31">
        <f>'FY 1 Most Likely'!N15</f>
        <v>36200</v>
      </c>
      <c r="D15" s="31">
        <f>'FY 2 Most Likely'!N15</f>
        <v>76925</v>
      </c>
      <c r="E15" s="31">
        <f>'FY 3 Most Likely'!N15</f>
        <v>144800</v>
      </c>
      <c r="F15" s="31">
        <f>'FY 4 Most Likely'!N15</f>
        <v>248875</v>
      </c>
      <c r="G15" s="31">
        <f>'FY 5 Most Likely'!N15</f>
        <v>366525</v>
      </c>
      <c r="H15" s="32">
        <f t="shared" si="0"/>
        <v>873325</v>
      </c>
      <c r="K15" s="145"/>
      <c r="L15" s="139"/>
      <c r="M15" s="139"/>
      <c r="N15" s="139"/>
      <c r="O15" s="139"/>
      <c r="P15" s="139"/>
      <c r="Q15" s="139"/>
      <c r="R15" s="139"/>
    </row>
    <row r="16" spans="1:18" ht="15">
      <c r="A16" s="169" t="s">
        <v>199</v>
      </c>
      <c r="B16" s="31">
        <f>'FY 0 Most Likely'!N16</f>
        <v>0</v>
      </c>
      <c r="C16" s="31">
        <f>'FY 1 Most Likely'!N16</f>
        <v>18100</v>
      </c>
      <c r="D16" s="31">
        <f>'FY 2 Most Likely'!N16</f>
        <v>67875</v>
      </c>
      <c r="E16" s="31">
        <f>'FY 3 Most Likely'!N16</f>
        <v>131225</v>
      </c>
      <c r="F16" s="31">
        <f>'FY 4 Most Likely'!N16</f>
        <v>226250</v>
      </c>
      <c r="G16" s="31">
        <f>'FY 5 Most Likely'!N16</f>
        <v>357475</v>
      </c>
      <c r="H16" s="32">
        <f t="shared" si="0"/>
        <v>800925</v>
      </c>
      <c r="K16" s="205"/>
      <c r="L16" s="206"/>
      <c r="M16" s="206"/>
      <c r="N16" s="206"/>
      <c r="O16" s="206"/>
      <c r="P16" s="206"/>
      <c r="Q16" s="206"/>
      <c r="R16" s="206"/>
    </row>
    <row r="17" spans="1:8" ht="15">
      <c r="A17" s="169" t="s">
        <v>200</v>
      </c>
      <c r="B17" s="31">
        <f>'FY 0 Most Likely'!N17</f>
        <v>0</v>
      </c>
      <c r="C17" s="31">
        <f>'FY 1 Most Likely'!N17</f>
        <v>4525</v>
      </c>
      <c r="D17" s="31">
        <f>'FY 2 Most Likely'!N17</f>
        <v>58825</v>
      </c>
      <c r="E17" s="31">
        <f>'FY 3 Most Likely'!N17</f>
        <v>122175</v>
      </c>
      <c r="F17" s="31">
        <f>'FY 4 Most Likely'!N17</f>
        <v>212675</v>
      </c>
      <c r="G17" s="31">
        <f>'FY 5 Most Likely'!N17</f>
        <v>339375</v>
      </c>
      <c r="H17" s="32">
        <f t="shared" si="0"/>
        <v>737575</v>
      </c>
    </row>
    <row r="18" spans="1:8" ht="15">
      <c r="A18" s="169" t="s">
        <v>201</v>
      </c>
      <c r="B18" s="31">
        <f>'FY 0 Most Likely'!N18</f>
        <v>0</v>
      </c>
      <c r="C18" s="31">
        <f>'FY 1 Most Likely'!N18</f>
        <v>0</v>
      </c>
      <c r="D18" s="31">
        <f>'FY 2 Most Likely'!N18</f>
        <v>36200</v>
      </c>
      <c r="E18" s="31">
        <f>'FY 3 Most Likely'!N18</f>
        <v>108600</v>
      </c>
      <c r="F18" s="31">
        <f>'FY 4 Most Likely'!N18</f>
        <v>203625</v>
      </c>
      <c r="G18" s="31">
        <f>'FY 5 Most Likely'!N18</f>
        <v>325800</v>
      </c>
      <c r="H18" s="32">
        <f t="shared" si="0"/>
        <v>674225</v>
      </c>
    </row>
    <row r="19" spans="1:8" ht="15">
      <c r="A19" s="169" t="s">
        <v>203</v>
      </c>
      <c r="B19" s="31">
        <f>'FY 0 Most Likely'!N19</f>
        <v>0</v>
      </c>
      <c r="C19" s="31">
        <f>'FY 1 Most Likely'!N19</f>
        <v>52800</v>
      </c>
      <c r="D19" s="31">
        <f>'FY 2 Most Likely'!N19</f>
        <v>105600</v>
      </c>
      <c r="E19" s="31">
        <f>'FY 3 Most Likely'!N19</f>
        <v>105600</v>
      </c>
      <c r="F19" s="31">
        <f>'FY 4 Most Likely'!N19</f>
        <v>105600</v>
      </c>
      <c r="G19" s="31">
        <f>'FY 5 Most Likely'!N19</f>
        <v>105600</v>
      </c>
      <c r="H19" s="32">
        <f t="shared" si="0"/>
        <v>475200</v>
      </c>
    </row>
    <row r="20" spans="1:8" ht="15">
      <c r="A20" s="169" t="s">
        <v>202</v>
      </c>
      <c r="B20" s="31">
        <f>'FY 0 Most Likely'!N20</f>
        <v>0</v>
      </c>
      <c r="C20" s="31">
        <f>'FY 1 Most Likely'!N20</f>
        <v>4400</v>
      </c>
      <c r="D20" s="31">
        <f>'FY 2 Most Likely'!N20</f>
        <v>88000</v>
      </c>
      <c r="E20" s="31">
        <f>'FY 3 Most Likely'!N20</f>
        <v>105600</v>
      </c>
      <c r="F20" s="31">
        <f>'FY 4 Most Likely'!N20</f>
        <v>105600</v>
      </c>
      <c r="G20" s="31">
        <f>'FY 5 Most Likely'!N20</f>
        <v>105600</v>
      </c>
      <c r="H20" s="32">
        <f t="shared" si="0"/>
        <v>409200</v>
      </c>
    </row>
    <row r="21" spans="1:8" ht="15">
      <c r="A21" s="169" t="s">
        <v>286</v>
      </c>
      <c r="B21" s="31">
        <f>'FY 0 Most Likely'!N21</f>
        <v>132000</v>
      </c>
      <c r="C21" s="31">
        <f>'FY 1 Most Likely'!N21</f>
        <v>132000</v>
      </c>
      <c r="D21" s="31">
        <f>'FY 2 Most Likely'!N21</f>
        <v>132000</v>
      </c>
      <c r="E21" s="31">
        <f>'FY 3 Most Likely'!N21</f>
        <v>132000</v>
      </c>
      <c r="F21" s="31">
        <f>'FY 4 Most Likely'!N21</f>
        <v>132000</v>
      </c>
      <c r="G21" s="31">
        <f>'FY 5 Most Likely'!N21</f>
        <v>132000</v>
      </c>
      <c r="H21" s="32">
        <f t="shared" si="0"/>
        <v>792000</v>
      </c>
    </row>
    <row r="22" spans="1:8" ht="15">
      <c r="A22" s="169" t="s">
        <v>67</v>
      </c>
      <c r="B22" s="31">
        <f>'FY 0 Most Likely'!N22</f>
        <v>33000</v>
      </c>
      <c r="C22" s="31">
        <f>'FY 1 Most Likely'!N22</f>
        <v>107250</v>
      </c>
      <c r="D22" s="31">
        <f>'FY 2 Most Likely'!N22</f>
        <v>132000</v>
      </c>
      <c r="E22" s="31">
        <f>'FY 3 Most Likely'!N22</f>
        <v>132000</v>
      </c>
      <c r="F22" s="31">
        <f>'FY 4 Most Likely'!N22</f>
        <v>132000</v>
      </c>
      <c r="G22" s="31">
        <f>'FY 5 Most Likely'!N22</f>
        <v>132000</v>
      </c>
      <c r="H22" s="32">
        <f t="shared" si="0"/>
        <v>668250</v>
      </c>
    </row>
    <row r="23" spans="1:8" ht="15">
      <c r="A23" s="169" t="s">
        <v>43</v>
      </c>
      <c r="B23" s="31">
        <f>'FY 0 Most Likely'!N23</f>
        <v>0</v>
      </c>
      <c r="C23" s="31">
        <f>'FY 1 Most Likely'!N23</f>
        <v>0</v>
      </c>
      <c r="D23" s="31">
        <f>'FY 2 Most Likely'!N23</f>
        <v>120000</v>
      </c>
      <c r="E23" s="31">
        <f>'FY 3 Most Likely'!N23</f>
        <v>120000</v>
      </c>
      <c r="F23" s="31">
        <f>'FY 4 Most Likely'!N23</f>
        <v>120000</v>
      </c>
      <c r="G23" s="31">
        <f>'FY 5 Most Likely'!N23</f>
        <v>120000</v>
      </c>
      <c r="H23" s="32">
        <f t="shared" si="0"/>
        <v>480000</v>
      </c>
    </row>
    <row r="24" spans="1:8" ht="15">
      <c r="A24" s="169" t="s">
        <v>62</v>
      </c>
      <c r="B24" s="31">
        <f>'FY 0 Most Likely'!N24</f>
        <v>0</v>
      </c>
      <c r="C24" s="31">
        <f>'FY 1 Most Likely'!N24</f>
        <v>20000</v>
      </c>
      <c r="D24" s="31">
        <f>'FY 2 Most Likely'!N24</f>
        <v>30000</v>
      </c>
      <c r="E24" s="31">
        <f>'FY 3 Most Likely'!N24</f>
        <v>30000</v>
      </c>
      <c r="F24" s="31">
        <f>'FY 4 Most Likely'!N24</f>
        <v>30000</v>
      </c>
      <c r="G24" s="31">
        <f>'FY 5 Most Likely'!N24</f>
        <v>30000</v>
      </c>
      <c r="H24" s="32">
        <f t="shared" si="0"/>
        <v>140000</v>
      </c>
    </row>
    <row r="25" spans="1:8" ht="15">
      <c r="A25" s="169" t="s">
        <v>96</v>
      </c>
      <c r="B25" s="31">
        <f>'FY 0 Most Likely'!N25</f>
        <v>42000</v>
      </c>
      <c r="C25" s="31">
        <f>'FY 1 Most Likely'!N25</f>
        <v>174000</v>
      </c>
      <c r="D25" s="31">
        <f>'FY 2 Most Likely'!N25</f>
        <v>240000</v>
      </c>
      <c r="E25" s="31">
        <f>'FY 3 Most Likely'!N25</f>
        <v>480000</v>
      </c>
      <c r="F25" s="31">
        <f>'FY 4 Most Likely'!N25</f>
        <v>480000</v>
      </c>
      <c r="G25" s="31">
        <f>'FY 5 Most Likely'!N25</f>
        <v>480000</v>
      </c>
      <c r="H25" s="32">
        <f t="shared" si="0"/>
        <v>1896000</v>
      </c>
    </row>
    <row r="26" spans="1:8" ht="15">
      <c r="A26" s="169" t="s">
        <v>45</v>
      </c>
      <c r="B26" s="31">
        <f>'FY 0 Most Likely'!N26</f>
        <v>6000</v>
      </c>
      <c r="C26" s="31">
        <f>'FY 1 Most Likely'!N26</f>
        <v>28000</v>
      </c>
      <c r="D26" s="31">
        <f>'FY 2 Most Likely'!N26</f>
        <v>72000</v>
      </c>
      <c r="E26" s="31">
        <f>'FY 3 Most Likely'!N26</f>
        <v>72000</v>
      </c>
      <c r="F26" s="31">
        <f>'FY 4 Most Likely'!N26</f>
        <v>72000</v>
      </c>
      <c r="G26" s="31">
        <f>'FY 5 Most Likely'!N26</f>
        <v>72000</v>
      </c>
      <c r="H26" s="32">
        <f t="shared" si="0"/>
        <v>322000</v>
      </c>
    </row>
    <row r="27" spans="1:8" ht="15">
      <c r="A27" s="169" t="s">
        <v>46</v>
      </c>
      <c r="B27" s="31">
        <f>'FY 0 Most Likely'!N27</f>
        <v>3000</v>
      </c>
      <c r="C27" s="31">
        <f>'FY 1 Most Likely'!N27</f>
        <v>9441.094000000001</v>
      </c>
      <c r="D27" s="31">
        <f>'FY 2 Most Likely'!N27</f>
        <v>14285.514</v>
      </c>
      <c r="E27" s="31">
        <f>'FY 3 Most Likely'!N27</f>
        <v>16302.144000000004</v>
      </c>
      <c r="F27" s="31">
        <f>'FY 4 Most Likely'!N27</f>
        <v>19394.309999999998</v>
      </c>
      <c r="G27" s="31">
        <f>'FY 5 Most Likely'!N27</f>
        <v>22889.802000000003</v>
      </c>
      <c r="H27" s="32">
        <f t="shared" si="0"/>
        <v>85312.864</v>
      </c>
    </row>
    <row r="28" spans="1:8" ht="15">
      <c r="A28" s="169" t="s">
        <v>48</v>
      </c>
      <c r="B28" s="31">
        <f>'FY 0 Most Likely'!N28</f>
        <v>18000</v>
      </c>
      <c r="C28" s="31">
        <f>'FY 1 Most Likely'!N28</f>
        <v>86000</v>
      </c>
      <c r="D28" s="31">
        <f>'FY 2 Most Likely'!N28</f>
        <v>120000</v>
      </c>
      <c r="E28" s="31">
        <f>'FY 3 Most Likely'!N28</f>
        <v>120000</v>
      </c>
      <c r="F28" s="31">
        <f>'FY 4 Most Likely'!N28</f>
        <v>120000</v>
      </c>
      <c r="G28" s="31">
        <f>'FY 5 Most Likely'!N28</f>
        <v>120000</v>
      </c>
      <c r="H28" s="32">
        <f t="shared" si="0"/>
        <v>584000</v>
      </c>
    </row>
    <row r="29" spans="1:8" ht="15">
      <c r="A29" s="169" t="s">
        <v>50</v>
      </c>
      <c r="B29" s="31">
        <f>'FY 0 Most Likely'!N29</f>
        <v>0</v>
      </c>
      <c r="C29" s="31">
        <f>'FY 1 Most Likely'!N29</f>
        <v>10500</v>
      </c>
      <c r="D29" s="31">
        <f>'FY 2 Most Likely'!N29</f>
        <v>18000</v>
      </c>
      <c r="E29" s="31">
        <f>'FY 3 Most Likely'!N29</f>
        <v>18000</v>
      </c>
      <c r="F29" s="31">
        <f>'FY 4 Most Likely'!N29</f>
        <v>18000</v>
      </c>
      <c r="G29" s="31">
        <f>'FY 5 Most Likely'!N29</f>
        <v>18000</v>
      </c>
      <c r="H29" s="32">
        <f t="shared" si="0"/>
        <v>82500</v>
      </c>
    </row>
    <row r="30" spans="1:8" ht="15">
      <c r="A30" s="169" t="s">
        <v>204</v>
      </c>
      <c r="B30" s="31">
        <f>'FY 0 Most Likely'!N30</f>
        <v>0</v>
      </c>
      <c r="C30" s="31">
        <f>'FY 1 Most Likely'!N30</f>
        <v>20004</v>
      </c>
      <c r="D30" s="31">
        <f>'FY 2 Most Likely'!N30</f>
        <v>20004</v>
      </c>
      <c r="E30" s="31">
        <f>'FY 3 Most Likely'!N30</f>
        <v>20004</v>
      </c>
      <c r="F30" s="31">
        <f>'FY 4 Most Likely'!N30</f>
        <v>20004</v>
      </c>
      <c r="G30" s="31">
        <f>'FY 5 Most Likely'!N30</f>
        <v>20004</v>
      </c>
      <c r="H30" s="32">
        <f>SUM(B30:G30)</f>
        <v>100020</v>
      </c>
    </row>
    <row r="31" spans="1:8" ht="15">
      <c r="A31" s="169" t="s">
        <v>214</v>
      </c>
      <c r="B31" s="31">
        <f>'FY 0 Most Likely'!N31</f>
        <v>0</v>
      </c>
      <c r="C31" s="31">
        <f>'FY 1 Most Likely'!N31</f>
        <v>63194.7</v>
      </c>
      <c r="D31" s="31">
        <f>'FY 2 Most Likely'!N31</f>
        <v>106620.08386552084</v>
      </c>
      <c r="E31" s="31">
        <f>'FY 3 Most Likely'!N31</f>
        <v>141818.9562937329</v>
      </c>
      <c r="F31" s="31">
        <f>'FY 4 Most Likely'!N31</f>
        <v>192609.67638023003</v>
      </c>
      <c r="G31" s="31">
        <f>'FY 5 Most Likely'!N31</f>
        <v>225781.56000000003</v>
      </c>
      <c r="H31" s="32">
        <f t="shared" si="0"/>
        <v>730024.9765394838</v>
      </c>
    </row>
    <row r="32" spans="1:8" ht="15">
      <c r="A32" s="170" t="s">
        <v>59</v>
      </c>
      <c r="B32" s="31">
        <f>'FY 0 Most Likely'!N32</f>
        <v>0</v>
      </c>
      <c r="C32" s="31">
        <f>'FY 1 Most Likely'!N32</f>
        <v>30603.5</v>
      </c>
      <c r="D32" s="31">
        <f>'FY 2 Most Likely'!N32</f>
        <v>40808.5</v>
      </c>
      <c r="E32" s="31">
        <f>'FY 3 Most Likely'!N32</f>
        <v>40816</v>
      </c>
      <c r="F32" s="31">
        <f>'FY 4 Most Likely'!N32</f>
        <v>40827.5</v>
      </c>
      <c r="G32" s="31">
        <f>'FY 5 Most Likely'!N32</f>
        <v>130809.97556041989</v>
      </c>
      <c r="H32" s="38">
        <f t="shared" si="0"/>
        <v>283865.4755604199</v>
      </c>
    </row>
    <row r="33" spans="1:8" ht="15.75" thickBot="1">
      <c r="A33" s="170" t="s">
        <v>58</v>
      </c>
      <c r="B33" s="31">
        <f>'FY 0 Most Likely'!N33</f>
        <v>0</v>
      </c>
      <c r="C33" s="31">
        <f>'FY 1 Most Likely'!N33</f>
        <v>32947.35</v>
      </c>
      <c r="D33" s="31">
        <f>'FY 2 Most Likely'!N33</f>
        <v>55110.04193276042</v>
      </c>
      <c r="E33" s="31">
        <f>'FY 3 Most Likely'!N33</f>
        <v>72709.47814686644</v>
      </c>
      <c r="F33" s="31">
        <f>'FY 4 Most Likely'!N33</f>
        <v>98104.83819011501</v>
      </c>
      <c r="G33" s="31">
        <f>'FY 5 Most Likely'!N33</f>
        <v>56919.19556041987</v>
      </c>
      <c r="H33" s="38">
        <f>SUM(B33:G33)</f>
        <v>315790.9038301617</v>
      </c>
    </row>
    <row r="34" spans="1:8" ht="15.75" thickBot="1">
      <c r="A34" s="171" t="s">
        <v>94</v>
      </c>
      <c r="B34" s="34">
        <f>'FY 0 Most Likely'!N34</f>
        <v>-295000</v>
      </c>
      <c r="C34" s="34">
        <f>'FY 1 Most Likely'!N34</f>
        <v>-794283.6440000001</v>
      </c>
      <c r="D34" s="34">
        <f>'FY 2 Most Likely'!N34</f>
        <v>-229048.1078670298</v>
      </c>
      <c r="E34" s="34">
        <f>'FY 3 Most Likely'!N34</f>
        <v>1015486.7991833744</v>
      </c>
      <c r="F34" s="34">
        <f>'FY 4 Most Likely'!N34</f>
        <v>3599015.2582434574</v>
      </c>
      <c r="G34" s="34">
        <f>'FY 5 Most Likely'!N34</f>
        <v>6940417.534129547</v>
      </c>
      <c r="H34" s="23">
        <f>SUM(B34:G34)</f>
        <v>10236587.839689348</v>
      </c>
    </row>
    <row r="37" spans="1:18" ht="15">
      <c r="A37" s="247" t="s">
        <v>296</v>
      </c>
      <c r="B37" s="247"/>
      <c r="C37" s="247"/>
      <c r="D37" s="247"/>
      <c r="E37" s="247"/>
      <c r="F37" s="247"/>
      <c r="G37" s="247"/>
      <c r="H37" s="247"/>
      <c r="I37" s="180"/>
      <c r="J37" s="180"/>
      <c r="K37" s="180"/>
      <c r="L37" s="180"/>
      <c r="M37" s="180"/>
      <c r="N37" s="180"/>
      <c r="O37" s="180"/>
      <c r="P37" s="180"/>
      <c r="Q37" s="180"/>
      <c r="R37" s="180"/>
    </row>
    <row r="38" spans="1:18" ht="15">
      <c r="A38" s="247"/>
      <c r="B38" s="247"/>
      <c r="C38" s="247"/>
      <c r="D38" s="247"/>
      <c r="E38" s="247"/>
      <c r="F38" s="247"/>
      <c r="G38" s="247"/>
      <c r="H38" s="247"/>
      <c r="I38" s="180"/>
      <c r="J38" s="180"/>
      <c r="K38" s="180"/>
      <c r="L38" s="180"/>
      <c r="M38" s="180"/>
      <c r="N38" s="180"/>
      <c r="O38" s="180"/>
      <c r="P38" s="180"/>
      <c r="Q38" s="180"/>
      <c r="R38" s="180"/>
    </row>
    <row r="39" spans="1:18" ht="15">
      <c r="A39" s="247"/>
      <c r="B39" s="247"/>
      <c r="C39" s="247"/>
      <c r="D39" s="247"/>
      <c r="E39" s="247"/>
      <c r="F39" s="247"/>
      <c r="G39" s="247"/>
      <c r="H39" s="247"/>
      <c r="I39" s="180"/>
      <c r="J39" s="180"/>
      <c r="K39" s="180"/>
      <c r="L39" s="180"/>
      <c r="M39" s="180"/>
      <c r="N39" s="180"/>
      <c r="O39" s="180"/>
      <c r="P39" s="180"/>
      <c r="Q39" s="180"/>
      <c r="R39" s="180"/>
    </row>
    <row r="40" spans="1:18" ht="15">
      <c r="A40" s="247"/>
      <c r="B40" s="247"/>
      <c r="C40" s="247"/>
      <c r="D40" s="247"/>
      <c r="E40" s="247"/>
      <c r="F40" s="247"/>
      <c r="G40" s="247"/>
      <c r="H40" s="247"/>
      <c r="I40" s="180"/>
      <c r="J40" s="180"/>
      <c r="K40" s="180"/>
      <c r="L40" s="180"/>
      <c r="M40" s="180"/>
      <c r="N40" s="180"/>
      <c r="O40" s="180"/>
      <c r="P40" s="180"/>
      <c r="Q40" s="180"/>
      <c r="R40" s="180"/>
    </row>
    <row r="41" spans="1:18" ht="15">
      <c r="A41" s="247"/>
      <c r="B41" s="247"/>
      <c r="C41" s="247"/>
      <c r="D41" s="247"/>
      <c r="E41" s="247"/>
      <c r="F41" s="247"/>
      <c r="G41" s="247"/>
      <c r="H41" s="247"/>
      <c r="I41" s="180"/>
      <c r="J41" s="180"/>
      <c r="K41" s="180"/>
      <c r="L41" s="180"/>
      <c r="M41" s="180"/>
      <c r="N41" s="180"/>
      <c r="O41" s="180"/>
      <c r="P41" s="180"/>
      <c r="Q41" s="180"/>
      <c r="R41" s="180"/>
    </row>
    <row r="42" spans="1:18" ht="15">
      <c r="A42" s="247"/>
      <c r="B42" s="247"/>
      <c r="C42" s="247"/>
      <c r="D42" s="247"/>
      <c r="E42" s="247"/>
      <c r="F42" s="247"/>
      <c r="G42" s="247"/>
      <c r="H42" s="247"/>
      <c r="I42" s="180"/>
      <c r="J42" s="180"/>
      <c r="K42" s="180"/>
      <c r="L42" s="180"/>
      <c r="M42" s="180"/>
      <c r="N42" s="180"/>
      <c r="O42" s="180"/>
      <c r="P42" s="180"/>
      <c r="Q42" s="180"/>
      <c r="R42" s="180"/>
    </row>
    <row r="43" spans="1:18" ht="15">
      <c r="A43" s="247"/>
      <c r="B43" s="247"/>
      <c r="C43" s="247"/>
      <c r="D43" s="247"/>
      <c r="E43" s="247"/>
      <c r="F43" s="247"/>
      <c r="G43" s="247"/>
      <c r="H43" s="247"/>
      <c r="I43" s="180"/>
      <c r="J43" s="180"/>
      <c r="K43" s="180"/>
      <c r="L43" s="180"/>
      <c r="M43" s="180"/>
      <c r="N43" s="180"/>
      <c r="O43" s="180"/>
      <c r="P43" s="180"/>
      <c r="Q43" s="180"/>
      <c r="R43" s="180"/>
    </row>
    <row r="44" spans="1:18" ht="15">
      <c r="A44" s="247"/>
      <c r="B44" s="247"/>
      <c r="C44" s="247"/>
      <c r="D44" s="247"/>
      <c r="E44" s="247"/>
      <c r="F44" s="247"/>
      <c r="G44" s="247"/>
      <c r="H44" s="247"/>
      <c r="I44" s="180"/>
      <c r="J44" s="180"/>
      <c r="K44" s="180"/>
      <c r="L44" s="180"/>
      <c r="M44" s="180"/>
      <c r="N44" s="180"/>
      <c r="O44" s="180"/>
      <c r="P44" s="180"/>
      <c r="Q44" s="180"/>
      <c r="R44" s="180"/>
    </row>
    <row r="45" spans="1:18" ht="15">
      <c r="A45" s="247"/>
      <c r="B45" s="247"/>
      <c r="C45" s="247"/>
      <c r="D45" s="247"/>
      <c r="E45" s="247"/>
      <c r="F45" s="247"/>
      <c r="G45" s="247"/>
      <c r="H45" s="247"/>
      <c r="I45" s="180"/>
      <c r="J45" s="180"/>
      <c r="K45" s="180"/>
      <c r="L45" s="180"/>
      <c r="M45" s="180"/>
      <c r="N45" s="180"/>
      <c r="O45" s="180"/>
      <c r="P45" s="180"/>
      <c r="Q45" s="180"/>
      <c r="R45" s="180"/>
    </row>
    <row r="47" spans="2:7" ht="15">
      <c r="B47" s="248" t="s">
        <v>288</v>
      </c>
      <c r="C47" s="248"/>
      <c r="D47" s="248"/>
      <c r="E47" s="248"/>
      <c r="F47" s="248"/>
      <c r="G47" s="248"/>
    </row>
  </sheetData>
  <sheetProtection password="DC55" sheet="1" objects="1" scenarios="1" formatCells="0" formatColumns="0" formatRows="0" insertColumns="0" insertRows="0" insertHyperlinks="0" deleteColumns="0" deleteRows="0" selectLockedCells="1" sort="0"/>
  <mergeCells count="2">
    <mergeCell ref="B47:G47"/>
    <mergeCell ref="A37:H45"/>
  </mergeCells>
  <printOptions horizontalCentered="1"/>
  <pageMargins left="0.7" right="0.7" top="0.75" bottom="0.75" header="0.3" footer="0.3"/>
  <pageSetup fitToHeight="1" fitToWidth="1" horizontalDpi="600" verticalDpi="600" orientation="landscape" scale="73" r:id="rId1"/>
  <headerFooter>
    <oddHeader>&amp;C&amp;"-,Bold"&amp;24&amp;UProject Victories Project Selection Tool</oddHeader>
    <oddFooter>&amp;CCopyright The Volpe Consortium, Inc.</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R46"/>
  <sheetViews>
    <sheetView view="pageLayout" workbookViewId="0" topLeftCell="A1">
      <selection activeCell="A2" sqref="A2"/>
    </sheetView>
  </sheetViews>
  <sheetFormatPr defaultColWidth="9.140625" defaultRowHeight="15"/>
  <cols>
    <col min="1" max="1" width="28.140625" style="230" customWidth="1"/>
    <col min="2" max="2" width="14.28125" style="0" bestFit="1" customWidth="1"/>
    <col min="3" max="4" width="15.003906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57"/>
      <c r="B1" s="231" t="s">
        <v>15</v>
      </c>
      <c r="C1" s="231" t="s">
        <v>35</v>
      </c>
      <c r="D1" s="231" t="s">
        <v>54</v>
      </c>
      <c r="E1" s="125"/>
      <c r="F1" s="125"/>
      <c r="G1" s="125"/>
      <c r="H1" s="126"/>
      <c r="K1" s="186"/>
      <c r="L1" s="186"/>
      <c r="M1" s="186"/>
      <c r="N1" s="186"/>
      <c r="O1" s="186"/>
      <c r="P1" s="186"/>
      <c r="Q1" s="186"/>
      <c r="R1" s="208"/>
    </row>
    <row r="2" spans="1:18" ht="18.75">
      <c r="A2" s="169" t="s">
        <v>281</v>
      </c>
      <c r="B2" s="172">
        <f>Calcs!E22</f>
        <v>11.504463131543012</v>
      </c>
      <c r="C2" s="172">
        <f>Calcs!F22</f>
        <v>4.995536868456988</v>
      </c>
      <c r="D2" s="122">
        <f>B2+C2</f>
        <v>16.5</v>
      </c>
      <c r="E2" s="74"/>
      <c r="F2" s="74"/>
      <c r="G2" s="74"/>
      <c r="H2" s="75"/>
      <c r="K2" s="186"/>
      <c r="L2" s="186"/>
      <c r="M2" s="186"/>
      <c r="N2" s="186"/>
      <c r="O2" s="186"/>
      <c r="P2" s="186"/>
      <c r="Q2" s="186"/>
      <c r="R2" s="187"/>
    </row>
    <row r="3" spans="1:18" ht="15">
      <c r="A3" s="169" t="s">
        <v>282</v>
      </c>
      <c r="B3" s="172">
        <f>Calcs!E23</f>
        <v>138</v>
      </c>
      <c r="C3" s="172">
        <f>Calcs!F23</f>
        <v>60</v>
      </c>
      <c r="D3" s="122">
        <f>SUM(B3:C3)</f>
        <v>198</v>
      </c>
      <c r="E3" s="74"/>
      <c r="F3" s="74"/>
      <c r="G3" s="74"/>
      <c r="H3" s="75"/>
      <c r="K3" s="188"/>
      <c r="L3" s="189"/>
      <c r="M3" s="189"/>
      <c r="N3" s="189"/>
      <c r="O3" s="189"/>
      <c r="P3" s="189"/>
      <c r="Q3" s="189"/>
      <c r="R3" s="189"/>
    </row>
    <row r="4" spans="1:18" ht="15">
      <c r="A4" s="169" t="s">
        <v>283</v>
      </c>
      <c r="B4" s="177">
        <v>0</v>
      </c>
      <c r="C4" s="177">
        <v>1</v>
      </c>
      <c r="D4" s="177">
        <v>2</v>
      </c>
      <c r="E4" s="177">
        <v>3</v>
      </c>
      <c r="F4" s="177">
        <v>6</v>
      </c>
      <c r="G4" s="177">
        <v>8</v>
      </c>
      <c r="H4" s="75"/>
      <c r="K4" s="147"/>
      <c r="L4" s="150"/>
      <c r="M4" s="150"/>
      <c r="N4" s="150"/>
      <c r="O4" s="150"/>
      <c r="P4" s="150"/>
      <c r="Q4" s="150"/>
      <c r="R4" s="150"/>
    </row>
    <row r="5" spans="1:18" ht="15">
      <c r="A5" s="169" t="s">
        <v>284</v>
      </c>
      <c r="B5" s="123">
        <f>'FY 0 Most Likely'!N5</f>
        <v>0</v>
      </c>
      <c r="C5" s="123">
        <f>'FY 1 Most Likely'!N5</f>
        <v>4694.7</v>
      </c>
      <c r="D5" s="123">
        <f>'FY 2 Most Likely'!N5</f>
        <v>28620.083865520857</v>
      </c>
      <c r="E5" s="123">
        <f>'FY 3 Most Likely'!N5</f>
        <v>63818.95629373289</v>
      </c>
      <c r="F5" s="123">
        <f>'FY 4 Most Likely'!N5</f>
        <v>114609.67638023001</v>
      </c>
      <c r="G5" s="123">
        <f>'FY 5 Most Likely'!N5</f>
        <v>180019.95112083972</v>
      </c>
      <c r="H5" s="127">
        <f>SUM(B5:G5)</f>
        <v>391763.3676603235</v>
      </c>
      <c r="K5" s="145"/>
      <c r="L5" s="145"/>
      <c r="M5" s="145"/>
      <c r="N5" s="145"/>
      <c r="O5" s="145"/>
      <c r="P5" s="145"/>
      <c r="Q5" s="145"/>
      <c r="R5" s="139"/>
    </row>
    <row r="6" spans="1:18" ht="15">
      <c r="A6" s="169" t="s">
        <v>57</v>
      </c>
      <c r="B6" s="174" t="s">
        <v>75</v>
      </c>
      <c r="C6" s="174" t="s">
        <v>69</v>
      </c>
      <c r="D6" s="174" t="s">
        <v>73</v>
      </c>
      <c r="E6" s="174" t="s">
        <v>74</v>
      </c>
      <c r="F6" s="174" t="s">
        <v>76</v>
      </c>
      <c r="G6" s="174" t="s">
        <v>77</v>
      </c>
      <c r="H6" s="194" t="s">
        <v>216</v>
      </c>
      <c r="K6" s="147"/>
      <c r="L6" s="150"/>
      <c r="M6" s="150"/>
      <c r="N6" s="150"/>
      <c r="O6" s="150"/>
      <c r="P6" s="150"/>
      <c r="Q6" s="150"/>
      <c r="R6" s="150"/>
    </row>
    <row r="7" spans="1:18" ht="15">
      <c r="A7" s="169" t="s">
        <v>55</v>
      </c>
      <c r="B7" s="31">
        <f>'FY 0 Most Likely'!N7</f>
        <v>0</v>
      </c>
      <c r="C7" s="31">
        <f>'FY 1 Most Likely'!N7</f>
        <v>929550.5999999999</v>
      </c>
      <c r="D7" s="31">
        <f>'FY 2 Most Likely'!N7</f>
        <v>5666776.605373129</v>
      </c>
      <c r="E7" s="31">
        <f>'FY 3 Most Likely'!N7</f>
        <v>12636153.346159112</v>
      </c>
      <c r="F7" s="31">
        <f>'FY 4 Most Likely'!N7</f>
        <v>22692715.923285548</v>
      </c>
      <c r="G7" s="31">
        <f>'FY 5 Most Likely'!N7</f>
        <v>35643950.32192627</v>
      </c>
      <c r="H7" s="32">
        <f>SUM(B7:G7)</f>
        <v>77569146.79674405</v>
      </c>
      <c r="K7" s="147"/>
      <c r="L7" s="150"/>
      <c r="M7" s="150"/>
      <c r="N7" s="150"/>
      <c r="O7" s="150"/>
      <c r="P7" s="150"/>
      <c r="Q7" s="150"/>
      <c r="R7" s="189"/>
    </row>
    <row r="8" spans="1:18" ht="15">
      <c r="A8" s="193"/>
      <c r="B8" s="36"/>
      <c r="C8" s="36"/>
      <c r="D8" s="36"/>
      <c r="E8" s="36"/>
      <c r="F8" s="36"/>
      <c r="G8" s="36"/>
      <c r="H8" s="37"/>
      <c r="K8" s="147"/>
      <c r="L8" s="150"/>
      <c r="M8" s="150"/>
      <c r="N8" s="150"/>
      <c r="O8" s="150"/>
      <c r="P8" s="150"/>
      <c r="Q8" s="150"/>
      <c r="R8" s="150"/>
    </row>
    <row r="9" spans="1:18" ht="15">
      <c r="A9" s="169" t="s">
        <v>56</v>
      </c>
      <c r="B9" s="31">
        <f>'FY 0 Most Likely'!N9</f>
        <v>0</v>
      </c>
      <c r="C9" s="31">
        <f>'FY 1 Most Likely'!N9</f>
        <v>647868.6</v>
      </c>
      <c r="D9" s="31">
        <f>'FY 2 Most Likely'!N9</f>
        <v>3949571.573441878</v>
      </c>
      <c r="E9" s="31">
        <f>'FY 3 Most Likely'!N9</f>
        <v>8807015.96853514</v>
      </c>
      <c r="F9" s="31">
        <f>'FY 4 Most Likely'!N9</f>
        <v>15816135.340471746</v>
      </c>
      <c r="G9" s="31">
        <f>'FY 5 Most Likely'!N9</f>
        <v>24842753.254675884</v>
      </c>
      <c r="H9" s="32">
        <f>SUM(B9:G9)</f>
        <v>54063344.73712465</v>
      </c>
      <c r="K9" s="147"/>
      <c r="L9" s="150"/>
      <c r="M9" s="150"/>
      <c r="N9" s="150"/>
      <c r="O9" s="150"/>
      <c r="P9" s="150"/>
      <c r="Q9" s="150"/>
      <c r="R9" s="150"/>
    </row>
    <row r="10" spans="1:18" ht="15">
      <c r="A10" s="169" t="s">
        <v>215</v>
      </c>
      <c r="B10" s="31">
        <f>'FY 0 Most Likely'!N10</f>
        <v>25000</v>
      </c>
      <c r="C10" s="31">
        <f>'FY 1 Most Likely'!N10</f>
        <v>0</v>
      </c>
      <c r="D10" s="31">
        <f>'FY 2 Most Likely'!N10</f>
        <v>0</v>
      </c>
      <c r="E10" s="31">
        <f>'FY 3 Most Likely'!N10</f>
        <v>0</v>
      </c>
      <c r="F10" s="31">
        <f>'FY 4 Most Likely'!N10</f>
        <v>0</v>
      </c>
      <c r="G10" s="31">
        <f>'FY 5 Most Likely'!N10</f>
        <v>0</v>
      </c>
      <c r="H10" s="32">
        <f aca="true" t="shared" si="0" ref="H10:H33">SUM(B10:G10)</f>
        <v>25000</v>
      </c>
      <c r="K10" s="147"/>
      <c r="L10" s="190"/>
      <c r="M10" s="190"/>
      <c r="N10" s="190"/>
      <c r="O10" s="190"/>
      <c r="P10" s="190"/>
      <c r="Q10" s="190"/>
      <c r="R10" s="190"/>
    </row>
    <row r="11" spans="1:18" ht="15">
      <c r="A11" s="169" t="s">
        <v>194</v>
      </c>
      <c r="B11" s="31">
        <f>'FY 0 Most Likely'!N11</f>
        <v>0</v>
      </c>
      <c r="C11" s="31">
        <f>'FY 1 Most Likely'!N11</f>
        <v>200000</v>
      </c>
      <c r="D11" s="31">
        <f>'FY 2 Most Likely'!N11</f>
        <v>200000</v>
      </c>
      <c r="E11" s="31">
        <f>'FY 3 Most Likely'!N11</f>
        <v>400000</v>
      </c>
      <c r="F11" s="31">
        <f>'FY 4 Most Likely'!N11</f>
        <v>400000</v>
      </c>
      <c r="G11" s="31">
        <f>'FY 5 Most Likely'!N11</f>
        <v>400000</v>
      </c>
      <c r="H11" s="32">
        <f t="shared" si="0"/>
        <v>1600000</v>
      </c>
      <c r="K11" s="147"/>
      <c r="L11" s="102"/>
      <c r="M11" s="102"/>
      <c r="N11" s="102"/>
      <c r="O11" s="102"/>
      <c r="P11" s="102"/>
      <c r="Q11" s="102"/>
      <c r="R11" s="102"/>
    </row>
    <row r="12" spans="1:18" ht="15">
      <c r="A12" s="169" t="s">
        <v>235</v>
      </c>
      <c r="B12" s="31">
        <f>'Timing Difference'!B67</f>
        <v>0</v>
      </c>
      <c r="C12" s="31">
        <f>'Timing Difference'!C67</f>
        <v>-160000</v>
      </c>
      <c r="D12" s="31">
        <f>'Timing Difference'!D67</f>
        <v>-120000</v>
      </c>
      <c r="E12" s="31">
        <f>'Timing Difference'!E67</f>
        <v>-240000</v>
      </c>
      <c r="F12" s="31">
        <f>'Timing Difference'!F67</f>
        <v>-160000</v>
      </c>
      <c r="G12" s="31">
        <f>'Timing Difference'!G67</f>
        <v>-80000</v>
      </c>
      <c r="H12" s="32">
        <f>SUM(B12:G12)</f>
        <v>-760000</v>
      </c>
      <c r="K12" s="147"/>
      <c r="L12" s="102"/>
      <c r="M12" s="102"/>
      <c r="N12" s="102"/>
      <c r="O12" s="102"/>
      <c r="P12" s="102"/>
      <c r="Q12" s="102"/>
      <c r="R12" s="102"/>
    </row>
    <row r="13" spans="1:18" ht="15">
      <c r="A13" s="169" t="s">
        <v>208</v>
      </c>
      <c r="B13" s="31">
        <f>'FY 0 Most Likely'!N12</f>
        <v>0</v>
      </c>
      <c r="C13" s="31">
        <f>'FY 1 Most Likely'!N12</f>
        <v>0</v>
      </c>
      <c r="D13" s="31">
        <f>'FY 2 Most Likely'!N12</f>
        <v>0</v>
      </c>
      <c r="E13" s="31">
        <f>'FY 3 Most Likely'!N12</f>
        <v>0</v>
      </c>
      <c r="F13" s="31">
        <f>'FY 4 Most Likely'!N12</f>
        <v>0</v>
      </c>
      <c r="G13" s="31">
        <f>'FY 5 Most Likely'!N12</f>
        <v>0</v>
      </c>
      <c r="H13" s="32">
        <f t="shared" si="0"/>
        <v>0</v>
      </c>
      <c r="K13" s="147"/>
      <c r="L13" s="102"/>
      <c r="M13" s="102"/>
      <c r="N13" s="102"/>
      <c r="O13" s="102"/>
      <c r="P13" s="102"/>
      <c r="Q13" s="102"/>
      <c r="R13" s="102"/>
    </row>
    <row r="14" spans="1:18" ht="15">
      <c r="A14" s="169" t="s">
        <v>47</v>
      </c>
      <c r="B14" s="31">
        <f>'FY 0 Most Likely'!N13</f>
        <v>36000</v>
      </c>
      <c r="C14" s="31">
        <f>'FY 1 Most Likely'!N13</f>
        <v>36000</v>
      </c>
      <c r="D14" s="31">
        <f>'FY 2 Most Likely'!N13</f>
        <v>212000</v>
      </c>
      <c r="E14" s="31">
        <f>'FY 3 Most Likely'!N13</f>
        <v>300000</v>
      </c>
      <c r="F14" s="31">
        <f>'FY 4 Most Likely'!N13</f>
        <v>300000</v>
      </c>
      <c r="G14" s="31">
        <f>'FY 5 Most Likely'!N13</f>
        <v>300000</v>
      </c>
      <c r="H14" s="32">
        <f t="shared" si="0"/>
        <v>1184000</v>
      </c>
      <c r="K14" s="147"/>
      <c r="L14" s="102"/>
      <c r="M14" s="102"/>
      <c r="N14" s="102"/>
      <c r="O14" s="102"/>
      <c r="P14" s="102"/>
      <c r="Q14" s="102"/>
      <c r="R14" s="102"/>
    </row>
    <row r="15" spans="1:18" ht="15">
      <c r="A15" s="169" t="s">
        <v>285</v>
      </c>
      <c r="B15" s="31">
        <f>'FY 0 Most Likely'!N14</f>
        <v>0</v>
      </c>
      <c r="C15" s="31">
        <f>'FY 1 Most Likely'!N14</f>
        <v>10000</v>
      </c>
      <c r="D15" s="31">
        <f>'FY 2 Most Likely'!N14</f>
        <v>0</v>
      </c>
      <c r="E15" s="31">
        <f>'FY 3 Most Likely'!N14</f>
        <v>0</v>
      </c>
      <c r="F15" s="31">
        <f>'FY 4 Most Likely'!N14</f>
        <v>0</v>
      </c>
      <c r="G15" s="31">
        <f>'FY 5 Most Likely'!N14</f>
        <v>0</v>
      </c>
      <c r="H15" s="32">
        <f t="shared" si="0"/>
        <v>10000</v>
      </c>
      <c r="K15" s="147"/>
      <c r="L15" s="102"/>
      <c r="M15" s="102"/>
      <c r="N15" s="102"/>
      <c r="O15" s="102"/>
      <c r="P15" s="102"/>
      <c r="Q15" s="102"/>
      <c r="R15" s="102"/>
    </row>
    <row r="16" spans="1:18" ht="15">
      <c r="A16" s="169" t="s">
        <v>198</v>
      </c>
      <c r="B16" s="31">
        <f>'FY 0 Most Likely'!N15</f>
        <v>0</v>
      </c>
      <c r="C16" s="31">
        <f>'FY 1 Most Likely'!N15</f>
        <v>36200</v>
      </c>
      <c r="D16" s="31">
        <f>'FY 2 Most Likely'!N15</f>
        <v>76925</v>
      </c>
      <c r="E16" s="31">
        <f>'FY 3 Most Likely'!N15</f>
        <v>144800</v>
      </c>
      <c r="F16" s="31">
        <f>'FY 4 Most Likely'!N15</f>
        <v>248875</v>
      </c>
      <c r="G16" s="31">
        <f>'FY 5 Most Likely'!N15</f>
        <v>366525</v>
      </c>
      <c r="H16" s="32">
        <f t="shared" si="0"/>
        <v>873325</v>
      </c>
      <c r="K16" s="147"/>
      <c r="L16" s="102"/>
      <c r="M16" s="102"/>
      <c r="N16" s="102"/>
      <c r="O16" s="102"/>
      <c r="P16" s="102"/>
      <c r="Q16" s="102"/>
      <c r="R16" s="102"/>
    </row>
    <row r="17" spans="1:18" ht="15" customHeight="1">
      <c r="A17" s="169" t="s">
        <v>199</v>
      </c>
      <c r="B17" s="31">
        <f>'FY 0 Most Likely'!N16</f>
        <v>0</v>
      </c>
      <c r="C17" s="31">
        <f>'FY 1 Most Likely'!N16</f>
        <v>18100</v>
      </c>
      <c r="D17" s="31">
        <f>'FY 2 Most Likely'!N16</f>
        <v>67875</v>
      </c>
      <c r="E17" s="31">
        <f>'FY 3 Most Likely'!N16</f>
        <v>131225</v>
      </c>
      <c r="F17" s="31">
        <f>'FY 4 Most Likely'!N16</f>
        <v>226250</v>
      </c>
      <c r="G17" s="31">
        <f>'FY 5 Most Likely'!N16</f>
        <v>357475</v>
      </c>
      <c r="H17" s="32">
        <f t="shared" si="0"/>
        <v>800925</v>
      </c>
      <c r="K17" s="191"/>
      <c r="L17" s="192"/>
      <c r="M17" s="192"/>
      <c r="N17" s="192"/>
      <c r="O17" s="192"/>
      <c r="P17" s="192"/>
      <c r="Q17" s="192"/>
      <c r="R17" s="192"/>
    </row>
    <row r="18" spans="1:8" ht="15">
      <c r="A18" s="169" t="s">
        <v>200</v>
      </c>
      <c r="B18" s="31">
        <f>'FY 0 Most Likely'!N17</f>
        <v>0</v>
      </c>
      <c r="C18" s="31">
        <f>'FY 1 Most Likely'!N17</f>
        <v>4525</v>
      </c>
      <c r="D18" s="31">
        <f>'FY 2 Most Likely'!N17</f>
        <v>58825</v>
      </c>
      <c r="E18" s="31">
        <f>'FY 3 Most Likely'!N17</f>
        <v>122175</v>
      </c>
      <c r="F18" s="31">
        <f>'FY 4 Most Likely'!N17</f>
        <v>212675</v>
      </c>
      <c r="G18" s="31">
        <f>'FY 5 Most Likely'!N17</f>
        <v>339375</v>
      </c>
      <c r="H18" s="32">
        <f t="shared" si="0"/>
        <v>737575</v>
      </c>
    </row>
    <row r="19" spans="1:8" ht="15">
      <c r="A19" s="169" t="s">
        <v>201</v>
      </c>
      <c r="B19" s="31">
        <f>'FY 0 Most Likely'!N18</f>
        <v>0</v>
      </c>
      <c r="C19" s="31">
        <f>'FY 1 Most Likely'!N18</f>
        <v>0</v>
      </c>
      <c r="D19" s="31">
        <f>'FY 2 Most Likely'!N18</f>
        <v>36200</v>
      </c>
      <c r="E19" s="31">
        <f>'FY 3 Most Likely'!N18</f>
        <v>108600</v>
      </c>
      <c r="F19" s="31">
        <f>'FY 4 Most Likely'!N18</f>
        <v>203625</v>
      </c>
      <c r="G19" s="31">
        <f>'FY 5 Most Likely'!N18</f>
        <v>325800</v>
      </c>
      <c r="H19" s="32">
        <f t="shared" si="0"/>
        <v>674225</v>
      </c>
    </row>
    <row r="20" spans="1:8" ht="15">
      <c r="A20" s="169" t="s">
        <v>203</v>
      </c>
      <c r="B20" s="31">
        <f>'FY 0 Most Likely'!N19</f>
        <v>0</v>
      </c>
      <c r="C20" s="31">
        <f>'FY 1 Most Likely'!N19</f>
        <v>52800</v>
      </c>
      <c r="D20" s="31">
        <f>'FY 2 Most Likely'!N19</f>
        <v>105600</v>
      </c>
      <c r="E20" s="31">
        <f>'FY 3 Most Likely'!N19</f>
        <v>105600</v>
      </c>
      <c r="F20" s="31">
        <f>'FY 4 Most Likely'!N19</f>
        <v>105600</v>
      </c>
      <c r="G20" s="31">
        <f>'FY 5 Most Likely'!N19</f>
        <v>105600</v>
      </c>
      <c r="H20" s="32">
        <f t="shared" si="0"/>
        <v>475200</v>
      </c>
    </row>
    <row r="21" spans="1:8" ht="15">
      <c r="A21" s="169" t="s">
        <v>202</v>
      </c>
      <c r="B21" s="31">
        <f>'FY 0 Most Likely'!N20</f>
        <v>0</v>
      </c>
      <c r="C21" s="31">
        <f>'FY 1 Most Likely'!N20</f>
        <v>4400</v>
      </c>
      <c r="D21" s="31">
        <f>'FY 2 Most Likely'!N20</f>
        <v>88000</v>
      </c>
      <c r="E21" s="31">
        <f>'FY 3 Most Likely'!N20</f>
        <v>105600</v>
      </c>
      <c r="F21" s="31">
        <f>'FY 4 Most Likely'!N20</f>
        <v>105600</v>
      </c>
      <c r="G21" s="31">
        <f>'FY 5 Most Likely'!N20</f>
        <v>105600</v>
      </c>
      <c r="H21" s="32">
        <f t="shared" si="0"/>
        <v>409200</v>
      </c>
    </row>
    <row r="22" spans="1:8" ht="15">
      <c r="A22" s="169" t="s">
        <v>286</v>
      </c>
      <c r="B22" s="31">
        <f>'FY 0 Most Likely'!N21</f>
        <v>132000</v>
      </c>
      <c r="C22" s="31">
        <f>'FY 1 Most Likely'!N21</f>
        <v>132000</v>
      </c>
      <c r="D22" s="31">
        <f>'FY 2 Most Likely'!N21</f>
        <v>132000</v>
      </c>
      <c r="E22" s="31">
        <f>'FY 3 Most Likely'!N21</f>
        <v>132000</v>
      </c>
      <c r="F22" s="31">
        <f>'FY 4 Most Likely'!N21</f>
        <v>132000</v>
      </c>
      <c r="G22" s="31">
        <f>'FY 5 Most Likely'!N21</f>
        <v>132000</v>
      </c>
      <c r="H22" s="32">
        <f t="shared" si="0"/>
        <v>792000</v>
      </c>
    </row>
    <row r="23" spans="1:8" ht="15">
      <c r="A23" s="169" t="s">
        <v>67</v>
      </c>
      <c r="B23" s="31">
        <f>'FY 0 Most Likely'!N22</f>
        <v>33000</v>
      </c>
      <c r="C23" s="31">
        <f>'FY 1 Most Likely'!N22</f>
        <v>107250</v>
      </c>
      <c r="D23" s="31">
        <f>'FY 2 Most Likely'!N22</f>
        <v>132000</v>
      </c>
      <c r="E23" s="31">
        <f>'FY 3 Most Likely'!N22</f>
        <v>132000</v>
      </c>
      <c r="F23" s="31">
        <f>'FY 4 Most Likely'!N22</f>
        <v>132000</v>
      </c>
      <c r="G23" s="31">
        <f>'FY 5 Most Likely'!N22</f>
        <v>132000</v>
      </c>
      <c r="H23" s="32">
        <f t="shared" si="0"/>
        <v>668250</v>
      </c>
    </row>
    <row r="24" spans="1:8" ht="15">
      <c r="A24" s="169" t="s">
        <v>43</v>
      </c>
      <c r="B24" s="31">
        <f>'FY 0 Most Likely'!N23</f>
        <v>0</v>
      </c>
      <c r="C24" s="31">
        <f>'FY 1 Most Likely'!N23</f>
        <v>0</v>
      </c>
      <c r="D24" s="31">
        <f>'FY 2 Most Likely'!N23</f>
        <v>120000</v>
      </c>
      <c r="E24" s="31">
        <f>'FY 3 Most Likely'!N23</f>
        <v>120000</v>
      </c>
      <c r="F24" s="31">
        <f>'FY 4 Most Likely'!N23</f>
        <v>120000</v>
      </c>
      <c r="G24" s="31">
        <f>'FY 5 Most Likely'!N23</f>
        <v>120000</v>
      </c>
      <c r="H24" s="32">
        <f t="shared" si="0"/>
        <v>480000</v>
      </c>
    </row>
    <row r="25" spans="1:8" ht="15">
      <c r="A25" s="169" t="s">
        <v>62</v>
      </c>
      <c r="B25" s="31">
        <f>'FY 0 Most Likely'!N24</f>
        <v>0</v>
      </c>
      <c r="C25" s="31">
        <f>'FY 1 Most Likely'!N24</f>
        <v>20000</v>
      </c>
      <c r="D25" s="31">
        <f>'FY 2 Most Likely'!N24</f>
        <v>30000</v>
      </c>
      <c r="E25" s="31">
        <f>'FY 3 Most Likely'!N24</f>
        <v>30000</v>
      </c>
      <c r="F25" s="31">
        <f>'FY 4 Most Likely'!N24</f>
        <v>30000</v>
      </c>
      <c r="G25" s="31">
        <f>'FY 5 Most Likely'!N24</f>
        <v>30000</v>
      </c>
      <c r="H25" s="32">
        <f t="shared" si="0"/>
        <v>140000</v>
      </c>
    </row>
    <row r="26" spans="1:8" ht="15">
      <c r="A26" s="169" t="s">
        <v>96</v>
      </c>
      <c r="B26" s="31">
        <f>'FY 0 Most Likely'!N25</f>
        <v>42000</v>
      </c>
      <c r="C26" s="31">
        <f>'FY 1 Most Likely'!N25</f>
        <v>174000</v>
      </c>
      <c r="D26" s="31">
        <f>'FY 2 Most Likely'!N25</f>
        <v>240000</v>
      </c>
      <c r="E26" s="31">
        <f>'FY 3 Most Likely'!N25</f>
        <v>480000</v>
      </c>
      <c r="F26" s="31">
        <f>'FY 4 Most Likely'!N25</f>
        <v>480000</v>
      </c>
      <c r="G26" s="31">
        <f>'FY 5 Most Likely'!N25</f>
        <v>480000</v>
      </c>
      <c r="H26" s="32">
        <f t="shared" si="0"/>
        <v>1896000</v>
      </c>
    </row>
    <row r="27" spans="1:8" ht="15">
      <c r="A27" s="169" t="s">
        <v>45</v>
      </c>
      <c r="B27" s="31">
        <f>'FY 0 Most Likely'!N26</f>
        <v>6000</v>
      </c>
      <c r="C27" s="31">
        <f>'FY 1 Most Likely'!N26</f>
        <v>28000</v>
      </c>
      <c r="D27" s="31">
        <f>'FY 2 Most Likely'!N26</f>
        <v>72000</v>
      </c>
      <c r="E27" s="31">
        <f>'FY 3 Most Likely'!N26</f>
        <v>72000</v>
      </c>
      <c r="F27" s="31">
        <f>'FY 4 Most Likely'!N26</f>
        <v>72000</v>
      </c>
      <c r="G27" s="31">
        <f>'FY 5 Most Likely'!N26</f>
        <v>72000</v>
      </c>
      <c r="H27" s="32">
        <f t="shared" si="0"/>
        <v>322000</v>
      </c>
    </row>
    <row r="28" spans="1:8" ht="15">
      <c r="A28" s="169" t="s">
        <v>46</v>
      </c>
      <c r="B28" s="31">
        <f>'FY 0 Most Likely'!N27</f>
        <v>3000</v>
      </c>
      <c r="C28" s="31">
        <f>'FY 1 Most Likely'!N27</f>
        <v>9441.094000000001</v>
      </c>
      <c r="D28" s="31">
        <f>'FY 2 Most Likely'!N27</f>
        <v>14285.514</v>
      </c>
      <c r="E28" s="31">
        <f>'FY 3 Most Likely'!N27</f>
        <v>16302.144000000004</v>
      </c>
      <c r="F28" s="31">
        <f>'FY 4 Most Likely'!N27</f>
        <v>19394.309999999998</v>
      </c>
      <c r="G28" s="31">
        <f>'FY 5 Most Likely'!N27</f>
        <v>22889.802000000003</v>
      </c>
      <c r="H28" s="32">
        <f t="shared" si="0"/>
        <v>85312.864</v>
      </c>
    </row>
    <row r="29" spans="1:8" ht="15">
      <c r="A29" s="169" t="s">
        <v>48</v>
      </c>
      <c r="B29" s="31">
        <f>'FY 0 Most Likely'!N28</f>
        <v>18000</v>
      </c>
      <c r="C29" s="31">
        <f>'FY 1 Most Likely'!N28</f>
        <v>86000</v>
      </c>
      <c r="D29" s="31">
        <f>'FY 2 Most Likely'!N28</f>
        <v>120000</v>
      </c>
      <c r="E29" s="31">
        <f>'FY 3 Most Likely'!N28</f>
        <v>120000</v>
      </c>
      <c r="F29" s="31">
        <f>'FY 4 Most Likely'!N28</f>
        <v>120000</v>
      </c>
      <c r="G29" s="31">
        <f>'FY 5 Most Likely'!N28</f>
        <v>120000</v>
      </c>
      <c r="H29" s="32">
        <f t="shared" si="0"/>
        <v>584000</v>
      </c>
    </row>
    <row r="30" spans="1:8" ht="15">
      <c r="A30" s="169" t="s">
        <v>50</v>
      </c>
      <c r="B30" s="31">
        <f>'FY 0 Most Likely'!N29</f>
        <v>0</v>
      </c>
      <c r="C30" s="31">
        <f>'FY 1 Most Likely'!N29</f>
        <v>10500</v>
      </c>
      <c r="D30" s="31">
        <f>'FY 2 Most Likely'!N29</f>
        <v>18000</v>
      </c>
      <c r="E30" s="31">
        <f>'FY 3 Most Likely'!N29</f>
        <v>18000</v>
      </c>
      <c r="F30" s="31">
        <f>'FY 4 Most Likely'!N29</f>
        <v>18000</v>
      </c>
      <c r="G30" s="31">
        <f>'FY 5 Most Likely'!N29</f>
        <v>18000</v>
      </c>
      <c r="H30" s="32">
        <f t="shared" si="0"/>
        <v>82500</v>
      </c>
    </row>
    <row r="31" spans="1:8" ht="15">
      <c r="A31" s="169" t="s">
        <v>204</v>
      </c>
      <c r="B31" s="31">
        <f>'FY 0 Most Likely'!N30</f>
        <v>0</v>
      </c>
      <c r="C31" s="31">
        <f>'FY 1 Most Likely'!N30</f>
        <v>20004</v>
      </c>
      <c r="D31" s="31">
        <f>'FY 2 Most Likely'!N30</f>
        <v>20004</v>
      </c>
      <c r="E31" s="31">
        <f>'FY 3 Most Likely'!N30</f>
        <v>20004</v>
      </c>
      <c r="F31" s="31">
        <f>'FY 4 Most Likely'!N30</f>
        <v>20004</v>
      </c>
      <c r="G31" s="31">
        <f>'FY 5 Most Likely'!N30</f>
        <v>20004</v>
      </c>
      <c r="H31" s="32">
        <f>SUM(B31:G31)</f>
        <v>100020</v>
      </c>
    </row>
    <row r="32" spans="1:8" ht="15">
      <c r="A32" s="169" t="s">
        <v>214</v>
      </c>
      <c r="B32" s="31">
        <f>'FY 0 Most Likely'!N31</f>
        <v>0</v>
      </c>
      <c r="C32" s="31">
        <f>'FY 1 Most Likely'!N31</f>
        <v>63194.7</v>
      </c>
      <c r="D32" s="31">
        <f>'FY 2 Most Likely'!N31</f>
        <v>106620.08386552084</v>
      </c>
      <c r="E32" s="31">
        <f>'FY 3 Most Likely'!N31</f>
        <v>141818.9562937329</v>
      </c>
      <c r="F32" s="31">
        <f>'FY 4 Most Likely'!N31</f>
        <v>192609.67638023003</v>
      </c>
      <c r="G32" s="31">
        <f>'FY 5 Most Likely'!N31</f>
        <v>225781.56000000003</v>
      </c>
      <c r="H32" s="32">
        <f t="shared" si="0"/>
        <v>730024.9765394838</v>
      </c>
    </row>
    <row r="33" spans="1:8" ht="15">
      <c r="A33" s="170" t="s">
        <v>59</v>
      </c>
      <c r="B33" s="31">
        <f>'FY 0 Most Likely'!N32</f>
        <v>0</v>
      </c>
      <c r="C33" s="31">
        <f>'FY 1 Most Likely'!N32</f>
        <v>30603.5</v>
      </c>
      <c r="D33" s="31">
        <f>'FY 2 Most Likely'!N32</f>
        <v>40808.5</v>
      </c>
      <c r="E33" s="31">
        <f>'FY 3 Most Likely'!N32</f>
        <v>40816</v>
      </c>
      <c r="F33" s="31">
        <f>'FY 4 Most Likely'!N32</f>
        <v>40827.5</v>
      </c>
      <c r="G33" s="31">
        <f>'FY 5 Most Likely'!N32</f>
        <v>130809.97556041989</v>
      </c>
      <c r="H33" s="38">
        <f t="shared" si="0"/>
        <v>283865.4755604199</v>
      </c>
    </row>
    <row r="34" spans="1:8" ht="15.75" thickBot="1">
      <c r="A34" s="170" t="s">
        <v>58</v>
      </c>
      <c r="B34" s="31">
        <f>'FY 0 Most Likely'!N33</f>
        <v>0</v>
      </c>
      <c r="C34" s="31">
        <f>'FY 1 Most Likely'!N33</f>
        <v>32947.35</v>
      </c>
      <c r="D34" s="31">
        <f>'FY 2 Most Likely'!N33</f>
        <v>55110.04193276042</v>
      </c>
      <c r="E34" s="31">
        <f>'FY 3 Most Likely'!N33</f>
        <v>72709.47814686644</v>
      </c>
      <c r="F34" s="31">
        <f>'FY 4 Most Likely'!N33</f>
        <v>98104.83819011501</v>
      </c>
      <c r="G34" s="31">
        <f>'FY 5 Most Likely'!N33</f>
        <v>56919.19556041987</v>
      </c>
      <c r="H34" s="38">
        <f>SUM(B34:G34)</f>
        <v>315790.9038301617</v>
      </c>
    </row>
    <row r="35" spans="1:8" ht="15.75" thickBot="1">
      <c r="A35" s="171" t="s">
        <v>94</v>
      </c>
      <c r="B35" s="34">
        <f>'FY 0 Most Likely'!N34+B12</f>
        <v>-295000</v>
      </c>
      <c r="C35" s="34">
        <f>'FY 1 Most Likely'!N34-C12</f>
        <v>-634283.6440000001</v>
      </c>
      <c r="D35" s="34">
        <f>'FY 2 Most Likely'!N34-D12</f>
        <v>-109048.10786702979</v>
      </c>
      <c r="E35" s="34">
        <f>'FY 3 Most Likely'!N34-E12</f>
        <v>1255486.7991833743</v>
      </c>
      <c r="F35" s="34">
        <f>'FY 4 Most Likely'!N34-F12</f>
        <v>3759015.2582434574</v>
      </c>
      <c r="G35" s="34">
        <f>'FY 5 Most Likely'!N34-G12</f>
        <v>7020417.534129547</v>
      </c>
      <c r="H35" s="23">
        <f>SUM(B35:G35)-H12</f>
        <v>11756587.839689348</v>
      </c>
    </row>
    <row r="37" ht="15">
      <c r="A37" s="145"/>
    </row>
    <row r="38" spans="1:8" ht="15">
      <c r="A38" s="247" t="s">
        <v>289</v>
      </c>
      <c r="B38" s="247"/>
      <c r="C38" s="247"/>
      <c r="D38" s="247"/>
      <c r="E38" s="247"/>
      <c r="F38" s="247"/>
      <c r="G38" s="247"/>
      <c r="H38" s="247"/>
    </row>
    <row r="39" spans="1:18" ht="15">
      <c r="A39" s="247"/>
      <c r="B39" s="247"/>
      <c r="C39" s="247"/>
      <c r="D39" s="247"/>
      <c r="E39" s="247"/>
      <c r="F39" s="247"/>
      <c r="G39" s="247"/>
      <c r="H39" s="247"/>
      <c r="I39" s="230"/>
      <c r="J39" s="230"/>
      <c r="K39" s="230"/>
      <c r="L39" s="230"/>
      <c r="M39" s="230"/>
      <c r="N39" s="230"/>
      <c r="O39" s="230"/>
      <c r="P39" s="230"/>
      <c r="Q39" s="230"/>
      <c r="R39" s="230"/>
    </row>
    <row r="40" spans="1:18" ht="15">
      <c r="A40" s="247"/>
      <c r="B40" s="247"/>
      <c r="C40" s="247"/>
      <c r="D40" s="247"/>
      <c r="E40" s="247"/>
      <c r="F40" s="247"/>
      <c r="G40" s="247"/>
      <c r="H40" s="247"/>
      <c r="I40" s="230"/>
      <c r="J40" s="230"/>
      <c r="K40" s="230"/>
      <c r="L40" s="230"/>
      <c r="M40" s="230"/>
      <c r="N40" s="230"/>
      <c r="O40" s="230"/>
      <c r="P40" s="230"/>
      <c r="Q40" s="230"/>
      <c r="R40" s="230"/>
    </row>
    <row r="41" spans="1:18" ht="15">
      <c r="A41" s="247"/>
      <c r="B41" s="247"/>
      <c r="C41" s="247"/>
      <c r="D41" s="247"/>
      <c r="E41" s="247"/>
      <c r="F41" s="247"/>
      <c r="G41" s="247"/>
      <c r="H41" s="247"/>
      <c r="I41" s="230"/>
      <c r="J41" s="230"/>
      <c r="K41" s="230"/>
      <c r="L41" s="230"/>
      <c r="M41" s="230"/>
      <c r="N41" s="230"/>
      <c r="O41" s="230"/>
      <c r="P41" s="230"/>
      <c r="Q41" s="230"/>
      <c r="R41" s="230"/>
    </row>
    <row r="42" spans="1:18" ht="15">
      <c r="A42" s="247"/>
      <c r="B42" s="247"/>
      <c r="C42" s="247"/>
      <c r="D42" s="247"/>
      <c r="E42" s="247"/>
      <c r="F42" s="247"/>
      <c r="G42" s="247"/>
      <c r="H42" s="247"/>
      <c r="I42" s="230"/>
      <c r="J42" s="230"/>
      <c r="K42" s="230"/>
      <c r="L42" s="230"/>
      <c r="M42" s="230"/>
      <c r="N42" s="230"/>
      <c r="O42" s="230"/>
      <c r="P42" s="230"/>
      <c r="Q42" s="230"/>
      <c r="R42" s="230"/>
    </row>
    <row r="43" spans="1:18" ht="15">
      <c r="A43" s="247"/>
      <c r="B43" s="247"/>
      <c r="C43" s="247"/>
      <c r="D43" s="247"/>
      <c r="E43" s="247"/>
      <c r="F43" s="247"/>
      <c r="G43" s="247"/>
      <c r="H43" s="247"/>
      <c r="I43" s="230"/>
      <c r="J43" s="230"/>
      <c r="K43" s="230"/>
      <c r="L43" s="230"/>
      <c r="M43" s="230"/>
      <c r="N43" s="230"/>
      <c r="O43" s="230"/>
      <c r="P43" s="230"/>
      <c r="Q43" s="230"/>
      <c r="R43" s="230"/>
    </row>
    <row r="44" spans="1:8" ht="15">
      <c r="A44" s="247"/>
      <c r="B44" s="247"/>
      <c r="C44" s="247"/>
      <c r="D44" s="247"/>
      <c r="E44" s="247"/>
      <c r="F44" s="247"/>
      <c r="G44" s="247"/>
      <c r="H44" s="247"/>
    </row>
    <row r="46" spans="2:7" ht="15">
      <c r="B46" s="248" t="s">
        <v>288</v>
      </c>
      <c r="C46" s="248"/>
      <c r="D46" s="248"/>
      <c r="E46" s="248"/>
      <c r="F46" s="248"/>
      <c r="G46" s="248"/>
    </row>
  </sheetData>
  <sheetProtection password="DC55" sheet="1" objects="1" scenarios="1" formatCells="0" formatColumns="0" formatRows="0" insertColumns="0" insertRows="0" insertHyperlinks="0" deleteColumns="0" deleteRows="0" selectLockedCells="1" sort="0"/>
  <mergeCells count="2">
    <mergeCell ref="A38:H44"/>
    <mergeCell ref="B46:G46"/>
  </mergeCells>
  <printOptions/>
  <pageMargins left="0.75" right="0.75" top="1" bottom="1" header="0.5" footer="0.5"/>
  <pageSetup fitToHeight="1" fitToWidth="1" horizontalDpi="600" verticalDpi="600" orientation="landscape" scale="69" r:id="rId3"/>
  <headerFooter alignWithMargins="0">
    <oddHeader>&amp;C&amp;"-,Bold"&amp;36&amp;UProject Victories Project Selection Tool</oddHeader>
    <oddFooter>&amp;CCopyright The Volpe Consortium, Inc.</oddFooter>
  </headerFooter>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R46"/>
  <sheetViews>
    <sheetView view="pageLayout" workbookViewId="0" topLeftCell="A1">
      <selection activeCell="A14" sqref="A14"/>
    </sheetView>
  </sheetViews>
  <sheetFormatPr defaultColWidth="9.140625" defaultRowHeight="15"/>
  <cols>
    <col min="1" max="1" width="28.00390625" style="0" customWidth="1"/>
    <col min="2" max="2" width="14.28125" style="0" bestFit="1" customWidth="1"/>
    <col min="3" max="4" width="15.003906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57"/>
      <c r="B1" s="101" t="s">
        <v>15</v>
      </c>
      <c r="C1" s="101" t="s">
        <v>35</v>
      </c>
      <c r="D1" s="101" t="s">
        <v>54</v>
      </c>
      <c r="E1" s="125"/>
      <c r="F1" s="125"/>
      <c r="G1" s="125"/>
      <c r="H1" s="126"/>
      <c r="K1" s="186"/>
      <c r="L1" s="186"/>
      <c r="M1" s="186"/>
      <c r="N1" s="186"/>
      <c r="O1" s="186"/>
      <c r="P1" s="186"/>
      <c r="Q1" s="186"/>
      <c r="R1" s="208"/>
    </row>
    <row r="2" spans="1:18" ht="18.75">
      <c r="A2" s="169" t="s">
        <v>281</v>
      </c>
      <c r="B2" s="172">
        <f>Calcs!E22</f>
        <v>11.504463131543012</v>
      </c>
      <c r="C2" s="172">
        <f>Calcs!F22</f>
        <v>4.995536868456988</v>
      </c>
      <c r="D2" s="122">
        <f>B2+C2</f>
        <v>16.5</v>
      </c>
      <c r="E2" s="74"/>
      <c r="F2" s="74"/>
      <c r="G2" s="74"/>
      <c r="H2" s="75"/>
      <c r="K2" s="186"/>
      <c r="L2" s="186"/>
      <c r="M2" s="186"/>
      <c r="N2" s="186"/>
      <c r="O2" s="186"/>
      <c r="P2" s="186"/>
      <c r="Q2" s="186"/>
      <c r="R2" s="187"/>
    </row>
    <row r="3" spans="1:18" ht="15">
      <c r="A3" s="169" t="s">
        <v>282</v>
      </c>
      <c r="B3" s="172">
        <f>Calcs!E23</f>
        <v>138</v>
      </c>
      <c r="C3" s="172">
        <f>Calcs!F23</f>
        <v>60</v>
      </c>
      <c r="D3" s="122">
        <f>SUM(B3:C3)</f>
        <v>198</v>
      </c>
      <c r="E3" s="74"/>
      <c r="F3" s="74"/>
      <c r="G3" s="74"/>
      <c r="H3" s="75"/>
      <c r="K3" s="188"/>
      <c r="L3" s="189"/>
      <c r="M3" s="189"/>
      <c r="N3" s="189"/>
      <c r="O3" s="189"/>
      <c r="P3" s="189"/>
      <c r="Q3" s="189"/>
      <c r="R3" s="189"/>
    </row>
    <row r="4" spans="1:18" ht="15">
      <c r="A4" s="169" t="s">
        <v>283</v>
      </c>
      <c r="B4" s="177">
        <v>0</v>
      </c>
      <c r="C4" s="177">
        <v>1</v>
      </c>
      <c r="D4" s="177">
        <v>1</v>
      </c>
      <c r="E4" s="177">
        <v>2</v>
      </c>
      <c r="F4" s="177">
        <v>4</v>
      </c>
      <c r="G4" s="177">
        <v>5</v>
      </c>
      <c r="H4" s="75"/>
      <c r="K4" s="147"/>
      <c r="L4" s="150"/>
      <c r="M4" s="150"/>
      <c r="N4" s="150"/>
      <c r="O4" s="150"/>
      <c r="P4" s="150"/>
      <c r="Q4" s="150"/>
      <c r="R4" s="150"/>
    </row>
    <row r="5" spans="1:18" ht="15">
      <c r="A5" s="169" t="s">
        <v>284</v>
      </c>
      <c r="B5" s="123">
        <f>'FY 0 Worst'!N5</f>
        <v>0</v>
      </c>
      <c r="C5" s="123">
        <f>'FY 1 Worst'!N5</f>
        <v>1936</v>
      </c>
      <c r="D5" s="123">
        <f>'FY 2 Worst'!N5</f>
        <v>17312.716137933225</v>
      </c>
      <c r="E5" s="123">
        <f>'FY 3 Worst'!N5</f>
        <v>38605.03972399722</v>
      </c>
      <c r="F5" s="123">
        <f>'FY 4 Worst'!N5</f>
        <v>69329.10480467601</v>
      </c>
      <c r="G5" s="123">
        <f>'FY 5 Worst'!N5</f>
        <v>108896.75682167994</v>
      </c>
      <c r="H5" s="127">
        <f>SUM(B5:G5)</f>
        <v>236079.6174882864</v>
      </c>
      <c r="K5" s="145"/>
      <c r="L5" s="145"/>
      <c r="M5" s="145"/>
      <c r="N5" s="145"/>
      <c r="O5" s="145"/>
      <c r="P5" s="145"/>
      <c r="Q5" s="145"/>
      <c r="R5" s="139"/>
    </row>
    <row r="6" spans="1:18" ht="15">
      <c r="A6" s="169" t="s">
        <v>57</v>
      </c>
      <c r="B6" s="174" t="s">
        <v>75</v>
      </c>
      <c r="C6" s="174" t="s">
        <v>69</v>
      </c>
      <c r="D6" s="174" t="s">
        <v>73</v>
      </c>
      <c r="E6" s="174" t="s">
        <v>74</v>
      </c>
      <c r="F6" s="174" t="s">
        <v>76</v>
      </c>
      <c r="G6" s="174" t="s">
        <v>77</v>
      </c>
      <c r="H6" s="194" t="s">
        <v>216</v>
      </c>
      <c r="K6" s="147"/>
      <c r="L6" s="150"/>
      <c r="M6" s="150"/>
      <c r="N6" s="150"/>
      <c r="O6" s="150"/>
      <c r="P6" s="150"/>
      <c r="Q6" s="150"/>
      <c r="R6" s="150"/>
    </row>
    <row r="7" spans="1:18" ht="15">
      <c r="A7" s="169" t="s">
        <v>55</v>
      </c>
      <c r="B7" s="31">
        <f>'FY 0 Worst'!N7</f>
        <v>0</v>
      </c>
      <c r="C7" s="31">
        <f>'FY 1 Worst'!N7</f>
        <v>383328</v>
      </c>
      <c r="D7" s="31">
        <f>'FY 2 Worst'!N7</f>
        <v>3427917.7953107785</v>
      </c>
      <c r="E7" s="31">
        <f>'FY 3 Worst'!N7</f>
        <v>7643797.86535145</v>
      </c>
      <c r="F7" s="31">
        <f>'FY 4 Worst'!N7</f>
        <v>13727162.751325851</v>
      </c>
      <c r="G7" s="31">
        <f>'FY 5 Worst'!N7</f>
        <v>21561557.850692634</v>
      </c>
      <c r="H7" s="32">
        <f>SUM(B7:G7)</f>
        <v>46743764.26268071</v>
      </c>
      <c r="K7" s="147"/>
      <c r="L7" s="150"/>
      <c r="M7" s="150"/>
      <c r="N7" s="150"/>
      <c r="O7" s="150"/>
      <c r="P7" s="150"/>
      <c r="Q7" s="150"/>
      <c r="R7" s="189"/>
    </row>
    <row r="8" spans="1:18" ht="15">
      <c r="A8" s="193"/>
      <c r="B8" s="36"/>
      <c r="C8" s="36"/>
      <c r="D8" s="36"/>
      <c r="E8" s="36"/>
      <c r="F8" s="36"/>
      <c r="G8" s="36"/>
      <c r="H8" s="37"/>
      <c r="K8" s="147"/>
      <c r="L8" s="150"/>
      <c r="M8" s="150"/>
      <c r="N8" s="150"/>
      <c r="O8" s="150"/>
      <c r="P8" s="150"/>
      <c r="Q8" s="150"/>
      <c r="R8" s="150"/>
    </row>
    <row r="9" spans="1:18" ht="15">
      <c r="A9" s="169" t="s">
        <v>56</v>
      </c>
      <c r="B9" s="31">
        <f>'FY 0 Worst'!N9</f>
        <v>0</v>
      </c>
      <c r="C9" s="31">
        <f>'FY 1 Worst'!N9</f>
        <v>267168</v>
      </c>
      <c r="D9" s="31">
        <f>'FY 2 Worst'!N9</f>
        <v>2389154.827034785</v>
      </c>
      <c r="E9" s="31">
        <f>'FY 3 Worst'!N9</f>
        <v>5327495.481911616</v>
      </c>
      <c r="F9" s="31">
        <f>'FY 4 Worst'!N9</f>
        <v>9567416.46304529</v>
      </c>
      <c r="G9" s="31">
        <f>'FY 5 Worst'!N9</f>
        <v>15027752.441391835</v>
      </c>
      <c r="H9" s="32">
        <f>SUM(B9:G9)</f>
        <v>32578987.213383526</v>
      </c>
      <c r="K9" s="147"/>
      <c r="L9" s="150"/>
      <c r="M9" s="150"/>
      <c r="N9" s="150"/>
      <c r="O9" s="150"/>
      <c r="P9" s="150"/>
      <c r="Q9" s="150"/>
      <c r="R9" s="150"/>
    </row>
    <row r="10" spans="1:18" ht="15">
      <c r="A10" s="169" t="s">
        <v>215</v>
      </c>
      <c r="B10" s="31">
        <f>'FY 0 Worst'!N10</f>
        <v>25000</v>
      </c>
      <c r="C10" s="31">
        <f>'FY 1 Worst'!N10</f>
        <v>0</v>
      </c>
      <c r="D10" s="31">
        <f>'FY 2 Worst'!N10</f>
        <v>0</v>
      </c>
      <c r="E10" s="31">
        <f>'FY 3 Worst'!N10</f>
        <v>0</v>
      </c>
      <c r="F10" s="31">
        <f>'FY 4 Worst'!N10</f>
        <v>0</v>
      </c>
      <c r="G10" s="31">
        <f>'FY 5 Worst'!N10</f>
        <v>0</v>
      </c>
      <c r="H10" s="32">
        <f aca="true" t="shared" si="0" ref="H10:H34">SUM(B10:G10)</f>
        <v>25000</v>
      </c>
      <c r="K10" s="147"/>
      <c r="L10" s="190"/>
      <c r="M10" s="190"/>
      <c r="N10" s="190"/>
      <c r="O10" s="190"/>
      <c r="P10" s="190"/>
      <c r="Q10" s="190"/>
      <c r="R10" s="190"/>
    </row>
    <row r="11" spans="1:18" ht="15">
      <c r="A11" s="169" t="s">
        <v>194</v>
      </c>
      <c r="B11" s="31">
        <f>'FY 0 Worst'!N11</f>
        <v>0</v>
      </c>
      <c r="C11" s="31">
        <f>'FY 1 Worst'!N11</f>
        <v>200000</v>
      </c>
      <c r="D11" s="31">
        <f>'FY 2 Worst'!N11</f>
        <v>200000</v>
      </c>
      <c r="E11" s="31">
        <f>'FY 3 Worst'!N11</f>
        <v>200000</v>
      </c>
      <c r="F11" s="31">
        <f>'FY 4 Worst'!N11</f>
        <v>200000</v>
      </c>
      <c r="G11" s="31">
        <f>'FY 5 Worst'!N11</f>
        <v>200000</v>
      </c>
      <c r="H11" s="32">
        <f t="shared" si="0"/>
        <v>1000000</v>
      </c>
      <c r="K11" s="147"/>
      <c r="L11" s="102"/>
      <c r="M11" s="102"/>
      <c r="N11" s="102"/>
      <c r="O11" s="102"/>
      <c r="P11" s="102"/>
      <c r="Q11" s="102"/>
      <c r="R11" s="102"/>
    </row>
    <row r="12" spans="1:18" ht="15">
      <c r="A12" s="169" t="s">
        <v>235</v>
      </c>
      <c r="B12" s="31">
        <f>'Timing Difference'!B91</f>
        <v>0</v>
      </c>
      <c r="C12" s="31">
        <f>'Timing Difference'!C91</f>
        <v>-160000</v>
      </c>
      <c r="D12" s="31">
        <f>'Timing Difference'!D91</f>
        <v>-120000</v>
      </c>
      <c r="E12" s="31">
        <f>'Timing Difference'!E91</f>
        <v>-80000</v>
      </c>
      <c r="F12" s="31">
        <f>'Timing Difference'!F91</f>
        <v>-40000</v>
      </c>
      <c r="G12" s="31">
        <f>'Timing Difference'!G91</f>
        <v>0</v>
      </c>
      <c r="H12" s="32">
        <f>SUM(B12:G12)</f>
        <v>-400000</v>
      </c>
      <c r="K12" s="147"/>
      <c r="L12" s="102"/>
      <c r="M12" s="102"/>
      <c r="N12" s="102"/>
      <c r="O12" s="102"/>
      <c r="P12" s="102"/>
      <c r="Q12" s="102"/>
      <c r="R12" s="102"/>
    </row>
    <row r="13" spans="1:18" ht="15">
      <c r="A13" s="169" t="s">
        <v>208</v>
      </c>
      <c r="B13" s="31">
        <f>'FY 0 Worst'!N12</f>
        <v>0</v>
      </c>
      <c r="C13" s="31">
        <f>'FY 1 Worst'!N12</f>
        <v>0</v>
      </c>
      <c r="D13" s="31">
        <f>'FY 2 Worst'!N12</f>
        <v>0</v>
      </c>
      <c r="E13" s="31">
        <f>'FY 3 Worst'!N12</f>
        <v>0</v>
      </c>
      <c r="F13" s="31">
        <f>'FY 4 Worst'!N12</f>
        <v>0</v>
      </c>
      <c r="G13" s="31">
        <f>'FY 5 Worst'!N12</f>
        <v>0</v>
      </c>
      <c r="H13" s="32">
        <f t="shared" si="0"/>
        <v>0</v>
      </c>
      <c r="K13" s="147"/>
      <c r="L13" s="102"/>
      <c r="M13" s="102"/>
      <c r="N13" s="102"/>
      <c r="O13" s="102"/>
      <c r="P13" s="102"/>
      <c r="Q13" s="102"/>
      <c r="R13" s="102"/>
    </row>
    <row r="14" spans="1:18" ht="15">
      <c r="A14" s="169" t="s">
        <v>47</v>
      </c>
      <c r="B14" s="31">
        <f>'FY 0 Worst'!N13</f>
        <v>36000</v>
      </c>
      <c r="C14" s="31">
        <f>'FY 1 Worst'!N13</f>
        <v>36000</v>
      </c>
      <c r="D14" s="31">
        <f>'FY 2 Worst'!N13</f>
        <v>102000</v>
      </c>
      <c r="E14" s="31">
        <f>'FY 3 Worst'!N13</f>
        <v>300000</v>
      </c>
      <c r="F14" s="31">
        <f>'FY 4 Worst'!N13</f>
        <v>300000</v>
      </c>
      <c r="G14" s="31">
        <f>'FY 5 Worst'!N13</f>
        <v>300000</v>
      </c>
      <c r="H14" s="32">
        <f t="shared" si="0"/>
        <v>1074000</v>
      </c>
      <c r="K14" s="147"/>
      <c r="L14" s="102"/>
      <c r="M14" s="102"/>
      <c r="N14" s="102"/>
      <c r="O14" s="102"/>
      <c r="P14" s="102"/>
      <c r="Q14" s="102"/>
      <c r="R14" s="102"/>
    </row>
    <row r="15" spans="1:18" ht="15">
      <c r="A15" s="169" t="s">
        <v>285</v>
      </c>
      <c r="B15" s="31">
        <f>'FY 0 Worst'!N14</f>
        <v>0</v>
      </c>
      <c r="C15" s="31">
        <f>'FY 1 Worst'!N14</f>
        <v>10000</v>
      </c>
      <c r="D15" s="31">
        <f>'FY 2 Worst'!N14</f>
        <v>0</v>
      </c>
      <c r="E15" s="31">
        <f>'FY 3 Worst'!N14</f>
        <v>0</v>
      </c>
      <c r="F15" s="31">
        <f>'FY 4 Worst'!N14</f>
        <v>0</v>
      </c>
      <c r="G15" s="31">
        <f>'FY 5 Worst'!N14</f>
        <v>0</v>
      </c>
      <c r="H15" s="32">
        <f t="shared" si="0"/>
        <v>10000</v>
      </c>
      <c r="K15" s="147"/>
      <c r="L15" s="102"/>
      <c r="M15" s="102"/>
      <c r="N15" s="102"/>
      <c r="O15" s="102"/>
      <c r="P15" s="102"/>
      <c r="Q15" s="102"/>
      <c r="R15" s="102"/>
    </row>
    <row r="16" spans="1:18" ht="15">
      <c r="A16" s="169" t="s">
        <v>198</v>
      </c>
      <c r="B16" s="31">
        <f>'FY 0 Worst'!N15</f>
        <v>0</v>
      </c>
      <c r="C16" s="31">
        <f>'FY 1 Worst'!N15</f>
        <v>27150</v>
      </c>
      <c r="D16" s="31">
        <f>'FY 2 Worst'!N15</f>
        <v>54300</v>
      </c>
      <c r="E16" s="31">
        <f>'FY 3 Worst'!N15</f>
        <v>108600</v>
      </c>
      <c r="F16" s="31">
        <f>'FY 4 Worst'!N15</f>
        <v>158375</v>
      </c>
      <c r="G16" s="31">
        <f>'FY 5 Worst'!N15</f>
        <v>235300</v>
      </c>
      <c r="H16" s="32">
        <f t="shared" si="0"/>
        <v>583725</v>
      </c>
      <c r="K16" s="147"/>
      <c r="L16" s="102"/>
      <c r="M16" s="102"/>
      <c r="N16" s="102"/>
      <c r="O16" s="102"/>
      <c r="P16" s="102"/>
      <c r="Q16" s="102"/>
      <c r="R16" s="102"/>
    </row>
    <row r="17" spans="1:18" ht="15">
      <c r="A17" s="169" t="s">
        <v>199</v>
      </c>
      <c r="B17" s="31">
        <f>'FY 0 Worst'!N16</f>
        <v>0</v>
      </c>
      <c r="C17" s="31">
        <f>'FY 1 Worst'!N16</f>
        <v>9050</v>
      </c>
      <c r="D17" s="31">
        <f>'FY 2 Worst'!N16</f>
        <v>54300</v>
      </c>
      <c r="E17" s="31">
        <f>'FY 3 Worst'!N16</f>
        <v>85975</v>
      </c>
      <c r="F17" s="31">
        <f>'FY 4 Worst'!N16</f>
        <v>140275</v>
      </c>
      <c r="G17" s="31">
        <f>'FY 5 Worst'!N16</f>
        <v>221725</v>
      </c>
      <c r="H17" s="32">
        <f t="shared" si="0"/>
        <v>511325</v>
      </c>
      <c r="K17" s="191"/>
      <c r="L17" s="192"/>
      <c r="M17" s="192"/>
      <c r="N17" s="192"/>
      <c r="O17" s="192"/>
      <c r="P17" s="192"/>
      <c r="Q17" s="192"/>
      <c r="R17" s="192"/>
    </row>
    <row r="18" spans="1:8" ht="15">
      <c r="A18" s="169" t="s">
        <v>200</v>
      </c>
      <c r="B18" s="31">
        <f>'FY 0 Worst'!N17</f>
        <v>0</v>
      </c>
      <c r="C18" s="31">
        <f>'FY 1 Worst'!N17</f>
        <v>0</v>
      </c>
      <c r="D18" s="31">
        <f>'FY 2 Worst'!N17</f>
        <v>31675</v>
      </c>
      <c r="E18" s="31">
        <f>'FY 3 Worst'!N17</f>
        <v>67875</v>
      </c>
      <c r="F18" s="31">
        <f>'FY 4 Worst'!N17</f>
        <v>131225</v>
      </c>
      <c r="G18" s="31">
        <f>'FY 5 Worst'!N17</f>
        <v>199100</v>
      </c>
      <c r="H18" s="32">
        <f t="shared" si="0"/>
        <v>429875</v>
      </c>
    </row>
    <row r="19" spans="1:8" ht="15">
      <c r="A19" s="169" t="s">
        <v>201</v>
      </c>
      <c r="B19" s="31">
        <f>'FY 0 Worst'!N18</f>
        <v>0</v>
      </c>
      <c r="C19" s="31">
        <f>'FY 1 Worst'!N18</f>
        <v>0</v>
      </c>
      <c r="D19" s="31">
        <f>'FY 2 Worst'!N18</f>
        <v>13575</v>
      </c>
      <c r="E19" s="31">
        <f>'FY 3 Worst'!N18</f>
        <v>54300</v>
      </c>
      <c r="F19" s="31">
        <f>'FY 4 Worst'!N18</f>
        <v>122175</v>
      </c>
      <c r="G19" s="31">
        <f>'FY 5 Worst'!N18</f>
        <v>190050</v>
      </c>
      <c r="H19" s="32">
        <f t="shared" si="0"/>
        <v>380100</v>
      </c>
    </row>
    <row r="20" spans="1:8" ht="15">
      <c r="A20" s="169" t="s">
        <v>203</v>
      </c>
      <c r="B20" s="31">
        <f>'FY 0 Worst'!N19</f>
        <v>0</v>
      </c>
      <c r="C20" s="31">
        <f>'FY 1 Worst'!N19</f>
        <v>35200</v>
      </c>
      <c r="D20" s="31">
        <f>'FY 2 Worst'!N19</f>
        <v>105600</v>
      </c>
      <c r="E20" s="31">
        <f>'FY 3 Worst'!N19</f>
        <v>105600</v>
      </c>
      <c r="F20" s="31">
        <f>'FY 4 Worst'!N19</f>
        <v>105600</v>
      </c>
      <c r="G20" s="31">
        <f>'FY 5 Worst'!N19</f>
        <v>105600</v>
      </c>
      <c r="H20" s="32">
        <f t="shared" si="0"/>
        <v>457600</v>
      </c>
    </row>
    <row r="21" spans="1:8" ht="15">
      <c r="A21" s="169" t="s">
        <v>202</v>
      </c>
      <c r="B21" s="31">
        <f>'FY 0 Worst'!N20</f>
        <v>0</v>
      </c>
      <c r="C21" s="31">
        <f>'FY 1 Worst'!N20</f>
        <v>0</v>
      </c>
      <c r="D21" s="31">
        <f>'FY 2 Worst'!N20</f>
        <v>44000</v>
      </c>
      <c r="E21" s="31">
        <f>'FY 3 Worst'!N20</f>
        <v>105600</v>
      </c>
      <c r="F21" s="31">
        <f>'FY 4 Worst'!N20</f>
        <v>105600</v>
      </c>
      <c r="G21" s="31">
        <f>'FY 5 Worst'!N20</f>
        <v>105600</v>
      </c>
      <c r="H21" s="32">
        <f t="shared" si="0"/>
        <v>360800</v>
      </c>
    </row>
    <row r="22" spans="1:8" ht="15">
      <c r="A22" s="169" t="s">
        <v>286</v>
      </c>
      <c r="B22" s="31">
        <f>'FY 0 Worst'!N21</f>
        <v>132000</v>
      </c>
      <c r="C22" s="31">
        <f>'FY 1 Worst'!N21</f>
        <v>132000</v>
      </c>
      <c r="D22" s="31">
        <f>'FY 2 Worst'!N21</f>
        <v>132000</v>
      </c>
      <c r="E22" s="31">
        <f>'FY 3 Worst'!N21</f>
        <v>132000</v>
      </c>
      <c r="F22" s="31">
        <f>'FY 4 Worst'!N21</f>
        <v>132000</v>
      </c>
      <c r="G22" s="31">
        <f>'FY 5 Worst'!N21</f>
        <v>132000</v>
      </c>
      <c r="H22" s="32">
        <f t="shared" si="0"/>
        <v>792000</v>
      </c>
    </row>
    <row r="23" spans="1:8" ht="15">
      <c r="A23" s="169" t="s">
        <v>67</v>
      </c>
      <c r="B23" s="31">
        <f>'FY 0 Worst'!N22</f>
        <v>33000</v>
      </c>
      <c r="C23" s="31">
        <f>'FY 1 Worst'!N22</f>
        <v>90750</v>
      </c>
      <c r="D23" s="31">
        <f>'FY 2 Worst'!N22</f>
        <v>132000</v>
      </c>
      <c r="E23" s="31">
        <f>'FY 3 Worst'!N22</f>
        <v>132000</v>
      </c>
      <c r="F23" s="31">
        <f>'FY 4 Worst'!N22</f>
        <v>132000</v>
      </c>
      <c r="G23" s="31">
        <f>'FY 5 Worst'!N22</f>
        <v>132000</v>
      </c>
      <c r="H23" s="32">
        <f t="shared" si="0"/>
        <v>651750</v>
      </c>
    </row>
    <row r="24" spans="1:8" ht="15">
      <c r="A24" s="169" t="s">
        <v>43</v>
      </c>
      <c r="B24" s="31">
        <f>'FY 0 Worst'!N23</f>
        <v>0</v>
      </c>
      <c r="C24" s="31">
        <f>'FY 1 Worst'!N23</f>
        <v>0</v>
      </c>
      <c r="D24" s="31">
        <f>'FY 2 Worst'!N23</f>
        <v>120000</v>
      </c>
      <c r="E24" s="31">
        <f>'FY 3 Worst'!N23</f>
        <v>120000</v>
      </c>
      <c r="F24" s="31">
        <f>'FY 4 Worst'!N23</f>
        <v>120000</v>
      </c>
      <c r="G24" s="31">
        <f>'FY 5 Worst'!N23</f>
        <v>120000</v>
      </c>
      <c r="H24" s="32">
        <f t="shared" si="0"/>
        <v>480000</v>
      </c>
    </row>
    <row r="25" spans="1:8" ht="15">
      <c r="A25" s="169" t="s">
        <v>62</v>
      </c>
      <c r="B25" s="31">
        <f>'FY 0 Worst'!N24</f>
        <v>0</v>
      </c>
      <c r="C25" s="31">
        <f>'FY 1 Worst'!N24</f>
        <v>15000</v>
      </c>
      <c r="D25" s="31">
        <f>'FY 2 Worst'!N24</f>
        <v>30000</v>
      </c>
      <c r="E25" s="31">
        <f>'FY 3 Worst'!N24</f>
        <v>30000</v>
      </c>
      <c r="F25" s="31">
        <f>'FY 4 Worst'!N24</f>
        <v>30000</v>
      </c>
      <c r="G25" s="31">
        <f>'FY 5 Worst'!N24</f>
        <v>30000</v>
      </c>
      <c r="H25" s="32">
        <f t="shared" si="0"/>
        <v>135000</v>
      </c>
    </row>
    <row r="26" spans="1:8" ht="15">
      <c r="A26" s="169" t="s">
        <v>96</v>
      </c>
      <c r="B26" s="31">
        <f>'FY 0 Worst'!N25</f>
        <v>42000</v>
      </c>
      <c r="C26" s="31">
        <f>'FY 1 Worst'!N25</f>
        <v>141000</v>
      </c>
      <c r="D26" s="31">
        <f>'FY 2 Worst'!N25</f>
        <v>240000</v>
      </c>
      <c r="E26" s="31">
        <f>'FY 3 Worst'!N25</f>
        <v>480000</v>
      </c>
      <c r="F26" s="31">
        <f>'FY 4 Worst'!N25</f>
        <v>480000</v>
      </c>
      <c r="G26" s="31">
        <f>'FY 5 Worst'!N25</f>
        <v>480000</v>
      </c>
      <c r="H26" s="32">
        <f t="shared" si="0"/>
        <v>1863000</v>
      </c>
    </row>
    <row r="27" spans="1:8" ht="15">
      <c r="A27" s="169" t="s">
        <v>45</v>
      </c>
      <c r="B27" s="31">
        <f>'FY 0 Worst'!N26</f>
        <v>6000</v>
      </c>
      <c r="C27" s="31">
        <f>'FY 1 Worst'!N26</f>
        <v>24000</v>
      </c>
      <c r="D27" s="31">
        <f>'FY 2 Worst'!N26</f>
        <v>72000</v>
      </c>
      <c r="E27" s="31">
        <f>'FY 3 Worst'!N26</f>
        <v>72000</v>
      </c>
      <c r="F27" s="31">
        <f>'FY 4 Worst'!N26</f>
        <v>72000</v>
      </c>
      <c r="G27" s="31">
        <f>'FY 5 Worst'!N26</f>
        <v>72000</v>
      </c>
      <c r="H27" s="32">
        <f t="shared" si="0"/>
        <v>318000</v>
      </c>
    </row>
    <row r="28" spans="1:8" ht="15">
      <c r="A28" s="169" t="s">
        <v>46</v>
      </c>
      <c r="B28" s="31">
        <f>'FY 0 Worst'!N27</f>
        <v>3000</v>
      </c>
      <c r="C28" s="31">
        <f>'FY 1 Worst'!N27</f>
        <v>7672.21</v>
      </c>
      <c r="D28" s="31">
        <f>'FY 2 Worst'!N27</f>
        <v>13613.303999999996</v>
      </c>
      <c r="E28" s="31">
        <f>'FY 3 Worst'!N27</f>
        <v>15226.608</v>
      </c>
      <c r="F28" s="31">
        <f>'FY 4 Worst'!N27</f>
        <v>16705.470000000005</v>
      </c>
      <c r="G28" s="31">
        <f>'FY 5 Worst'!N27</f>
        <v>18990.983999999997</v>
      </c>
      <c r="H28" s="32">
        <f t="shared" si="0"/>
        <v>75208.576</v>
      </c>
    </row>
    <row r="29" spans="1:8" ht="15">
      <c r="A29" s="169" t="s">
        <v>48</v>
      </c>
      <c r="B29" s="31">
        <f>'FY 0 Worst'!N28</f>
        <v>18000</v>
      </c>
      <c r="C29" s="31">
        <f>'FY 1 Worst'!N28</f>
        <v>69000</v>
      </c>
      <c r="D29" s="31">
        <f>'FY 2 Worst'!N28</f>
        <v>120000</v>
      </c>
      <c r="E29" s="31">
        <f>'FY 3 Worst'!N28</f>
        <v>120000</v>
      </c>
      <c r="F29" s="31">
        <f>'FY 4 Worst'!N28</f>
        <v>120000</v>
      </c>
      <c r="G29" s="31">
        <f>'FY 5 Worst'!N28</f>
        <v>120000</v>
      </c>
      <c r="H29" s="32">
        <f t="shared" si="0"/>
        <v>567000</v>
      </c>
    </row>
    <row r="30" spans="1:8" ht="15">
      <c r="A30" s="169" t="s">
        <v>50</v>
      </c>
      <c r="B30" s="31">
        <f>'FY 0 Worst'!N29</f>
        <v>0</v>
      </c>
      <c r="C30" s="31">
        <f>'FY 1 Worst'!N29</f>
        <v>7500</v>
      </c>
      <c r="D30" s="31">
        <f>'FY 2 Worst'!N29</f>
        <v>18000</v>
      </c>
      <c r="E30" s="31">
        <f>'FY 3 Worst'!N29</f>
        <v>18000</v>
      </c>
      <c r="F30" s="31">
        <f>'FY 4 Worst'!N29</f>
        <v>18000</v>
      </c>
      <c r="G30" s="31">
        <f>'FY 5 Worst'!N29</f>
        <v>18000</v>
      </c>
      <c r="H30" s="32">
        <f t="shared" si="0"/>
        <v>79500</v>
      </c>
    </row>
    <row r="31" spans="1:8" ht="15">
      <c r="A31" s="169" t="s">
        <v>204</v>
      </c>
      <c r="B31" s="31">
        <f>'FY 0 Worst'!N30</f>
        <v>0</v>
      </c>
      <c r="C31" s="31">
        <f>'FY 1 Worst'!N30</f>
        <v>20004</v>
      </c>
      <c r="D31" s="31">
        <f>'FY 2 Worst'!N30</f>
        <v>20004</v>
      </c>
      <c r="E31" s="31">
        <f>'FY 3 Worst'!N30</f>
        <v>20004</v>
      </c>
      <c r="F31" s="31">
        <f>'FY 4 Worst'!N30</f>
        <v>20004</v>
      </c>
      <c r="G31" s="31">
        <f>'FY 5 Worst'!N30</f>
        <v>20004</v>
      </c>
      <c r="H31" s="32">
        <f t="shared" si="0"/>
        <v>100020</v>
      </c>
    </row>
    <row r="32" spans="1:8" ht="15">
      <c r="A32" s="169" t="s">
        <v>214</v>
      </c>
      <c r="B32" s="31">
        <f>'FY 0 Worst'!N31</f>
        <v>0</v>
      </c>
      <c r="C32" s="31">
        <f>'FY 1 Worst'!N31</f>
        <v>47436</v>
      </c>
      <c r="D32" s="31">
        <f>'FY 2 Worst'!N31</f>
        <v>95312.71613793322</v>
      </c>
      <c r="E32" s="31">
        <f>'FY 3 Worst'!N31</f>
        <v>116605.03972399724</v>
      </c>
      <c r="F32" s="31">
        <f>'FY 4 Worst'!N31</f>
        <v>147329.10480467603</v>
      </c>
      <c r="G32" s="31">
        <f>'FY 5 Worst'!N31</f>
        <v>186896.75682167994</v>
      </c>
      <c r="H32" s="32">
        <f t="shared" si="0"/>
        <v>593579.6174882865</v>
      </c>
    </row>
    <row r="33" spans="1:8" ht="15">
      <c r="A33" s="170" t="s">
        <v>59</v>
      </c>
      <c r="B33" s="31">
        <f>'FY 0 Worst'!N32</f>
        <v>0</v>
      </c>
      <c r="C33" s="31">
        <f>'FY 1 Worst'!N32</f>
        <v>23802.5</v>
      </c>
      <c r="D33" s="31">
        <f>'FY 2 Worst'!N32</f>
        <v>40806</v>
      </c>
      <c r="E33" s="31">
        <f>'FY 3 Worst'!N32</f>
        <v>40812</v>
      </c>
      <c r="F33" s="31">
        <f>'FY 4 Worst'!N32</f>
        <v>40817.5</v>
      </c>
      <c r="G33" s="31">
        <f>'FY 5 Worst'!N32</f>
        <v>40826</v>
      </c>
      <c r="H33" s="32">
        <f t="shared" si="0"/>
        <v>187064</v>
      </c>
    </row>
    <row r="34" spans="1:8" ht="15.75" thickBot="1">
      <c r="A34" s="170" t="s">
        <v>58</v>
      </c>
      <c r="B34" s="31">
        <f>'FY 0 Worst'!N33</f>
        <v>0</v>
      </c>
      <c r="C34" s="31">
        <f>'FY 1 Worst'!N33</f>
        <v>24768</v>
      </c>
      <c r="D34" s="31">
        <f>'FY 2 Worst'!N33</f>
        <v>49456.35806896661</v>
      </c>
      <c r="E34" s="31">
        <f>'FY 3 Worst'!N33</f>
        <v>60102.51986199861</v>
      </c>
      <c r="F34" s="31">
        <f>'FY 4 Worst'!N33</f>
        <v>75464.55240233801</v>
      </c>
      <c r="G34" s="31">
        <f>'FY 5 Worst'!N33</f>
        <v>95248.37841083997</v>
      </c>
      <c r="H34" s="32">
        <f t="shared" si="0"/>
        <v>305039.8087441432</v>
      </c>
    </row>
    <row r="35" spans="1:8" ht="15.75" thickBot="1">
      <c r="A35" s="171" t="s">
        <v>94</v>
      </c>
      <c r="B35" s="34">
        <f>'FY 0 Worst'!N34-B12</f>
        <v>-295000</v>
      </c>
      <c r="C35" s="34">
        <f>'FY 1 Worst'!N34-C12</f>
        <v>-644172.7100000002</v>
      </c>
      <c r="D35" s="34">
        <f>'FY 2 Worst'!N34-D12</f>
        <v>-529879.4099309061</v>
      </c>
      <c r="E35" s="34">
        <f>'FY 3 Worst'!N34-E12</f>
        <v>11602.215853837784</v>
      </c>
      <c r="F35" s="34">
        <f>'FY 4 Worst'!N34-F12</f>
        <v>1532175.661073547</v>
      </c>
      <c r="G35" s="34">
        <f>'FY 5 Worst'!N34+G12</f>
        <v>3510464.2900682776</v>
      </c>
      <c r="H35" s="23">
        <f>SUM(B35:G35)</f>
        <v>3585190.047064756</v>
      </c>
    </row>
    <row r="38" spans="1:18" ht="15">
      <c r="A38" s="247" t="s">
        <v>289</v>
      </c>
      <c r="B38" s="247"/>
      <c r="C38" s="247"/>
      <c r="D38" s="247"/>
      <c r="E38" s="247"/>
      <c r="F38" s="247"/>
      <c r="G38" s="247"/>
      <c r="H38" s="247"/>
      <c r="I38" s="230"/>
      <c r="J38" s="230"/>
      <c r="K38" s="230"/>
      <c r="L38" s="230"/>
      <c r="M38" s="230"/>
      <c r="N38" s="230"/>
      <c r="O38" s="230"/>
      <c r="P38" s="230"/>
      <c r="Q38" s="230"/>
      <c r="R38" s="230"/>
    </row>
    <row r="39" spans="1:18" ht="15">
      <c r="A39" s="247"/>
      <c r="B39" s="247"/>
      <c r="C39" s="247"/>
      <c r="D39" s="247"/>
      <c r="E39" s="247"/>
      <c r="F39" s="247"/>
      <c r="G39" s="247"/>
      <c r="H39" s="247"/>
      <c r="I39" s="230"/>
      <c r="J39" s="230"/>
      <c r="K39" s="230"/>
      <c r="L39" s="230"/>
      <c r="M39" s="230"/>
      <c r="N39" s="230"/>
      <c r="O39" s="230"/>
      <c r="P39" s="230"/>
      <c r="Q39" s="230"/>
      <c r="R39" s="230"/>
    </row>
    <row r="40" spans="1:18" ht="15">
      <c r="A40" s="247"/>
      <c r="B40" s="247"/>
      <c r="C40" s="247"/>
      <c r="D40" s="247"/>
      <c r="E40" s="247"/>
      <c r="F40" s="247"/>
      <c r="G40" s="247"/>
      <c r="H40" s="247"/>
      <c r="I40" s="230"/>
      <c r="J40" s="230"/>
      <c r="K40" s="230"/>
      <c r="L40" s="230"/>
      <c r="M40" s="230"/>
      <c r="N40" s="230"/>
      <c r="O40" s="230"/>
      <c r="P40" s="230"/>
      <c r="Q40" s="230"/>
      <c r="R40" s="230"/>
    </row>
    <row r="41" spans="1:18" ht="15">
      <c r="A41" s="247"/>
      <c r="B41" s="247"/>
      <c r="C41" s="247"/>
      <c r="D41" s="247"/>
      <c r="E41" s="247"/>
      <c r="F41" s="247"/>
      <c r="G41" s="247"/>
      <c r="H41" s="247"/>
      <c r="I41" s="230"/>
      <c r="J41" s="230"/>
      <c r="K41" s="230"/>
      <c r="L41" s="230"/>
      <c r="M41" s="230"/>
      <c r="N41" s="230"/>
      <c r="O41" s="230"/>
      <c r="P41" s="230"/>
      <c r="Q41" s="230"/>
      <c r="R41" s="230"/>
    </row>
    <row r="42" spans="1:18" ht="15">
      <c r="A42" s="247"/>
      <c r="B42" s="247"/>
      <c r="C42" s="247"/>
      <c r="D42" s="247"/>
      <c r="E42" s="247"/>
      <c r="F42" s="247"/>
      <c r="G42" s="247"/>
      <c r="H42" s="247"/>
      <c r="I42" s="230"/>
      <c r="J42" s="230"/>
      <c r="K42" s="230"/>
      <c r="L42" s="230"/>
      <c r="M42" s="230"/>
      <c r="N42" s="230"/>
      <c r="O42" s="230"/>
      <c r="P42" s="230"/>
      <c r="Q42" s="230"/>
      <c r="R42" s="230"/>
    </row>
    <row r="43" spans="1:8" ht="15">
      <c r="A43" s="247"/>
      <c r="B43" s="247"/>
      <c r="C43" s="247"/>
      <c r="D43" s="247"/>
      <c r="E43" s="247"/>
      <c r="F43" s="247"/>
      <c r="G43" s="247"/>
      <c r="H43" s="247"/>
    </row>
    <row r="44" spans="1:8" ht="15">
      <c r="A44" s="247"/>
      <c r="B44" s="247"/>
      <c r="C44" s="247"/>
      <c r="D44" s="247"/>
      <c r="E44" s="247"/>
      <c r="F44" s="247"/>
      <c r="G44" s="247"/>
      <c r="H44" s="247"/>
    </row>
    <row r="46" spans="2:7" ht="15">
      <c r="B46" s="248" t="s">
        <v>288</v>
      </c>
      <c r="C46" s="248"/>
      <c r="D46" s="248"/>
      <c r="E46" s="248"/>
      <c r="F46" s="248"/>
      <c r="G46" s="248"/>
    </row>
  </sheetData>
  <sheetProtection password="DC55" sheet="1" objects="1" scenarios="1" formatCells="0" formatColumns="0" formatRows="0" insertColumns="0" insertRows="0" insertHyperlinks="0" deleteColumns="0" deleteRows="0" selectLockedCells="1" sort="0"/>
  <mergeCells count="2">
    <mergeCell ref="A38:H44"/>
    <mergeCell ref="B46:G46"/>
  </mergeCells>
  <printOptions/>
  <pageMargins left="0.75" right="0.75" top="1" bottom="1" header="0.5" footer="0.5"/>
  <pageSetup fitToHeight="1" fitToWidth="1" horizontalDpi="600" verticalDpi="600" orientation="landscape" scale="69" r:id="rId3"/>
  <headerFooter alignWithMargins="0">
    <oddHeader>&amp;C&amp;"-,Bold"&amp;36&amp;UProject Victories Project Selection Tool</oddHeader>
    <oddFooter>&amp;CCopyright The Volpe Consortium, Inc.</oddFoot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M94"/>
  <sheetViews>
    <sheetView view="pageLayout" workbookViewId="0" topLeftCell="A1">
      <selection activeCell="C9" sqref="C9"/>
    </sheetView>
  </sheetViews>
  <sheetFormatPr defaultColWidth="9.140625" defaultRowHeight="15"/>
  <cols>
    <col min="1" max="1" width="34.28125" style="0" customWidth="1"/>
    <col min="2" max="3" width="12.57421875" style="0" bestFit="1" customWidth="1"/>
    <col min="4" max="4" width="13.421875" style="0" bestFit="1" customWidth="1"/>
    <col min="5" max="7" width="12.57421875" style="0" bestFit="1" customWidth="1"/>
    <col min="8" max="8" width="14.28125" style="0" bestFit="1" customWidth="1"/>
    <col min="9" max="12" width="12.57421875" style="0" customWidth="1"/>
    <col min="13" max="13" width="15.00390625" style="0" bestFit="1" customWidth="1"/>
    <col min="14" max="14" width="12.57421875" style="0" customWidth="1"/>
    <col min="15" max="15" width="14.28125" style="0" bestFit="1" customWidth="1"/>
  </cols>
  <sheetData>
    <row r="1" spans="1:13" ht="15">
      <c r="A1" s="266" t="s">
        <v>298</v>
      </c>
      <c r="B1" s="267"/>
      <c r="C1" s="267"/>
      <c r="D1" s="267"/>
      <c r="E1" s="267"/>
      <c r="F1" s="267"/>
      <c r="G1" s="267"/>
      <c r="H1" s="267"/>
      <c r="I1" s="267"/>
      <c r="J1" s="267"/>
      <c r="K1" s="267"/>
      <c r="L1" s="267"/>
      <c r="M1" s="159"/>
    </row>
    <row r="2" spans="1:13" ht="15">
      <c r="A2" s="160"/>
      <c r="B2" s="102"/>
      <c r="C2" s="102"/>
      <c r="D2" s="102"/>
      <c r="E2" s="102"/>
      <c r="F2" s="102"/>
      <c r="G2" s="102"/>
      <c r="H2" s="102"/>
      <c r="I2" s="102"/>
      <c r="J2" s="102"/>
      <c r="K2" s="102"/>
      <c r="L2" s="102"/>
      <c r="M2" s="161"/>
    </row>
    <row r="3" spans="1:13" ht="15">
      <c r="A3" s="232" t="s">
        <v>275</v>
      </c>
      <c r="B3" s="240">
        <v>1</v>
      </c>
      <c r="C3" s="240">
        <v>1</v>
      </c>
      <c r="D3" s="240">
        <v>4</v>
      </c>
      <c r="E3" s="240">
        <v>6</v>
      </c>
      <c r="F3" s="240">
        <v>10</v>
      </c>
      <c r="G3" s="240">
        <v>12</v>
      </c>
      <c r="H3" s="240"/>
      <c r="I3" s="240"/>
      <c r="J3" s="240"/>
      <c r="K3" s="240"/>
      <c r="L3" s="240"/>
      <c r="M3" s="161"/>
    </row>
    <row r="4" spans="1:13" ht="15">
      <c r="A4" s="169" t="s">
        <v>68</v>
      </c>
      <c r="B4" s="174" t="s">
        <v>75</v>
      </c>
      <c r="C4" s="174" t="s">
        <v>69</v>
      </c>
      <c r="D4" s="174" t="s">
        <v>73</v>
      </c>
      <c r="E4" s="174" t="s">
        <v>74</v>
      </c>
      <c r="F4" s="174" t="s">
        <v>76</v>
      </c>
      <c r="G4" s="174" t="s">
        <v>77</v>
      </c>
      <c r="H4" s="237" t="s">
        <v>241</v>
      </c>
      <c r="I4" s="237" t="s">
        <v>242</v>
      </c>
      <c r="J4" s="237" t="s">
        <v>243</v>
      </c>
      <c r="K4" s="237" t="s">
        <v>244</v>
      </c>
      <c r="L4" s="237" t="s">
        <v>245</v>
      </c>
      <c r="M4" s="162" t="s">
        <v>264</v>
      </c>
    </row>
    <row r="5" spans="1:13" ht="15">
      <c r="A5" s="169" t="s">
        <v>194</v>
      </c>
      <c r="B5" s="181">
        <v>200000</v>
      </c>
      <c r="C5" s="181">
        <v>200000</v>
      </c>
      <c r="D5" s="181">
        <v>400000</v>
      </c>
      <c r="E5" s="181">
        <v>400000</v>
      </c>
      <c r="F5" s="181">
        <v>800000</v>
      </c>
      <c r="G5" s="181">
        <v>400000</v>
      </c>
      <c r="H5" s="238"/>
      <c r="I5" s="238"/>
      <c r="J5" s="238"/>
      <c r="K5" s="238"/>
      <c r="L5" s="238"/>
      <c r="M5" s="32"/>
    </row>
    <row r="6" spans="1:13" ht="15">
      <c r="A6" s="232" t="s">
        <v>251</v>
      </c>
      <c r="B6" s="239">
        <v>-200000</v>
      </c>
      <c r="C6" s="240"/>
      <c r="D6" s="240"/>
      <c r="E6" s="240"/>
      <c r="F6" s="240"/>
      <c r="G6" s="240"/>
      <c r="H6" s="240"/>
      <c r="I6" s="240"/>
      <c r="J6" s="240"/>
      <c r="K6" s="240"/>
      <c r="L6" s="240"/>
      <c r="M6" s="32">
        <f aca="true" t="shared" si="0" ref="M6:M32">SUM(B6:L6)</f>
        <v>-200000</v>
      </c>
    </row>
    <row r="7" spans="1:13" ht="15">
      <c r="A7" s="232" t="s">
        <v>280</v>
      </c>
      <c r="B7" s="240"/>
      <c r="C7" s="239">
        <v>-200000</v>
      </c>
      <c r="D7" s="239"/>
      <c r="E7" s="239"/>
      <c r="F7" s="239"/>
      <c r="G7" s="239"/>
      <c r="H7" s="239"/>
      <c r="I7" s="239"/>
      <c r="J7" s="239"/>
      <c r="K7" s="239"/>
      <c r="L7" s="239"/>
      <c r="M7" s="32">
        <f t="shared" si="0"/>
        <v>-200000</v>
      </c>
    </row>
    <row r="8" spans="1:13" ht="15">
      <c r="A8" s="232" t="s">
        <v>253</v>
      </c>
      <c r="B8" s="240"/>
      <c r="C8" s="239"/>
      <c r="D8" s="239">
        <v>-200000</v>
      </c>
      <c r="E8" s="239"/>
      <c r="F8" s="239"/>
      <c r="G8" s="239"/>
      <c r="H8" s="239"/>
      <c r="I8" s="239"/>
      <c r="J8" s="239"/>
      <c r="K8" s="239"/>
      <c r="L8" s="239"/>
      <c r="M8" s="32">
        <f t="shared" si="0"/>
        <v>-200000</v>
      </c>
    </row>
    <row r="9" spans="1:13" ht="15">
      <c r="A9" s="232" t="s">
        <v>257</v>
      </c>
      <c r="B9" s="240"/>
      <c r="C9" s="239"/>
      <c r="D9" s="239">
        <v>-200000</v>
      </c>
      <c r="E9" s="239"/>
      <c r="F9" s="239"/>
      <c r="G9" s="239"/>
      <c r="H9" s="239"/>
      <c r="I9" s="239"/>
      <c r="J9" s="239"/>
      <c r="K9" s="239"/>
      <c r="L9" s="239"/>
      <c r="M9" s="32">
        <f t="shared" si="0"/>
        <v>-200000</v>
      </c>
    </row>
    <row r="10" spans="1:13" ht="15">
      <c r="A10" s="232" t="s">
        <v>254</v>
      </c>
      <c r="B10" s="240"/>
      <c r="C10" s="239"/>
      <c r="D10" s="239"/>
      <c r="E10" s="239">
        <v>-200000</v>
      </c>
      <c r="F10" s="239"/>
      <c r="G10" s="239"/>
      <c r="H10" s="239"/>
      <c r="I10" s="239"/>
      <c r="J10" s="239"/>
      <c r="K10" s="239"/>
      <c r="L10" s="239"/>
      <c r="M10" s="32">
        <f t="shared" si="0"/>
        <v>-200000</v>
      </c>
    </row>
    <row r="11" spans="1:13" ht="15">
      <c r="A11" s="232" t="s">
        <v>258</v>
      </c>
      <c r="B11" s="240"/>
      <c r="C11" s="239"/>
      <c r="D11" s="239"/>
      <c r="E11" s="239">
        <v>-200000</v>
      </c>
      <c r="F11" s="239"/>
      <c r="G11" s="239"/>
      <c r="H11" s="239"/>
      <c r="I11" s="239"/>
      <c r="J11" s="239"/>
      <c r="K11" s="239"/>
      <c r="L11" s="239"/>
      <c r="M11" s="32">
        <f t="shared" si="0"/>
        <v>-200000</v>
      </c>
    </row>
    <row r="12" spans="1:13" ht="15">
      <c r="A12" s="232" t="s">
        <v>255</v>
      </c>
      <c r="B12" s="240"/>
      <c r="C12" s="239"/>
      <c r="D12" s="239"/>
      <c r="E12" s="239"/>
      <c r="F12" s="239">
        <v>-200000</v>
      </c>
      <c r="G12" s="239"/>
      <c r="H12" s="239"/>
      <c r="I12" s="239"/>
      <c r="J12" s="239"/>
      <c r="K12" s="239"/>
      <c r="L12" s="239"/>
      <c r="M12" s="32">
        <f t="shared" si="0"/>
        <v>-200000</v>
      </c>
    </row>
    <row r="13" spans="1:13" ht="15">
      <c r="A13" s="232" t="s">
        <v>259</v>
      </c>
      <c r="B13" s="240"/>
      <c r="C13" s="239"/>
      <c r="D13" s="239"/>
      <c r="E13" s="239"/>
      <c r="F13" s="239">
        <v>-200000</v>
      </c>
      <c r="G13" s="240"/>
      <c r="H13" s="239"/>
      <c r="I13" s="239"/>
      <c r="J13" s="239"/>
      <c r="K13" s="239"/>
      <c r="L13" s="239"/>
      <c r="M13" s="32">
        <f t="shared" si="0"/>
        <v>-200000</v>
      </c>
    </row>
    <row r="14" spans="1:13" ht="15">
      <c r="A14" s="232" t="s">
        <v>260</v>
      </c>
      <c r="B14" s="240"/>
      <c r="C14" s="239"/>
      <c r="D14" s="239"/>
      <c r="E14" s="239"/>
      <c r="F14" s="239">
        <v>-200000</v>
      </c>
      <c r="G14" s="240"/>
      <c r="H14" s="239"/>
      <c r="I14" s="239"/>
      <c r="J14" s="239"/>
      <c r="K14" s="239"/>
      <c r="L14" s="239"/>
      <c r="M14" s="32">
        <f t="shared" si="0"/>
        <v>-200000</v>
      </c>
    </row>
    <row r="15" spans="1:13" ht="15">
      <c r="A15" s="232" t="s">
        <v>261</v>
      </c>
      <c r="B15" s="240"/>
      <c r="C15" s="239"/>
      <c r="D15" s="239"/>
      <c r="E15" s="239"/>
      <c r="F15" s="239">
        <v>-200000</v>
      </c>
      <c r="G15" s="239"/>
      <c r="H15" s="239"/>
      <c r="I15" s="239"/>
      <c r="J15" s="239"/>
      <c r="K15" s="239"/>
      <c r="L15" s="239"/>
      <c r="M15" s="32">
        <f t="shared" si="0"/>
        <v>-200000</v>
      </c>
    </row>
    <row r="16" spans="1:13" ht="15">
      <c r="A16" s="232" t="s">
        <v>262</v>
      </c>
      <c r="B16" s="240"/>
      <c r="C16" s="239"/>
      <c r="D16" s="239"/>
      <c r="E16" s="239"/>
      <c r="F16" s="239"/>
      <c r="G16" s="239">
        <v>-200000</v>
      </c>
      <c r="H16" s="239"/>
      <c r="I16" s="239"/>
      <c r="J16" s="239"/>
      <c r="K16" s="239"/>
      <c r="L16" s="239"/>
      <c r="M16" s="32">
        <f t="shared" si="0"/>
        <v>-200000</v>
      </c>
    </row>
    <row r="17" spans="1:13" ht="15">
      <c r="A17" s="232" t="s">
        <v>263</v>
      </c>
      <c r="B17" s="240"/>
      <c r="C17" s="239"/>
      <c r="D17" s="239"/>
      <c r="E17" s="239"/>
      <c r="F17" s="239"/>
      <c r="G17" s="239">
        <v>-200000</v>
      </c>
      <c r="H17" s="239"/>
      <c r="I17" s="239"/>
      <c r="J17" s="239"/>
      <c r="K17" s="239"/>
      <c r="L17" s="239"/>
      <c r="M17" s="32">
        <f t="shared" si="0"/>
        <v>-200000</v>
      </c>
    </row>
    <row r="18" spans="1:13" ht="15">
      <c r="A18" s="233" t="s">
        <v>266</v>
      </c>
      <c r="B18" s="143">
        <f aca="true" t="shared" si="1" ref="B18:G18">SUM(B6:B17)</f>
        <v>-200000</v>
      </c>
      <c r="C18" s="143">
        <f t="shared" si="1"/>
        <v>-200000</v>
      </c>
      <c r="D18" s="143">
        <f t="shared" si="1"/>
        <v>-400000</v>
      </c>
      <c r="E18" s="143">
        <f t="shared" si="1"/>
        <v>-400000</v>
      </c>
      <c r="F18" s="143">
        <f t="shared" si="1"/>
        <v>-800000</v>
      </c>
      <c r="G18" s="143">
        <f t="shared" si="1"/>
        <v>-400000</v>
      </c>
      <c r="H18" s="143"/>
      <c r="I18" s="143"/>
      <c r="J18" s="143"/>
      <c r="K18" s="143"/>
      <c r="L18" s="153"/>
      <c r="M18" s="32"/>
    </row>
    <row r="19" spans="1:13" ht="15">
      <c r="A19" s="232"/>
      <c r="B19" s="240"/>
      <c r="C19" s="239"/>
      <c r="D19" s="239"/>
      <c r="E19" s="239"/>
      <c r="F19" s="239"/>
      <c r="G19" s="239"/>
      <c r="H19" s="239"/>
      <c r="I19" s="239"/>
      <c r="J19" s="239"/>
      <c r="K19" s="239"/>
      <c r="L19" s="239"/>
      <c r="M19" s="32">
        <f>SUM(M6:M17)</f>
        <v>-2400000</v>
      </c>
    </row>
    <row r="20" spans="1:13" ht="15">
      <c r="A20" s="298" t="s">
        <v>247</v>
      </c>
      <c r="B20" s="240"/>
      <c r="C20" s="240"/>
      <c r="D20" s="240"/>
      <c r="E20" s="240"/>
      <c r="F20" s="240"/>
      <c r="G20" s="240"/>
      <c r="H20" s="239"/>
      <c r="I20" s="239"/>
      <c r="J20" s="239"/>
      <c r="K20" s="239"/>
      <c r="L20" s="239"/>
      <c r="M20" s="32"/>
    </row>
    <row r="21" spans="1:13" ht="15">
      <c r="A21" s="232" t="s">
        <v>251</v>
      </c>
      <c r="B21" s="241">
        <v>40000</v>
      </c>
      <c r="C21" s="241">
        <v>40000</v>
      </c>
      <c r="D21" s="241">
        <v>40000</v>
      </c>
      <c r="E21" s="241">
        <v>40000</v>
      </c>
      <c r="F21" s="241">
        <v>40000</v>
      </c>
      <c r="G21" s="241"/>
      <c r="H21" s="241"/>
      <c r="I21" s="241"/>
      <c r="J21" s="241"/>
      <c r="K21" s="239"/>
      <c r="L21" s="239"/>
      <c r="M21" s="32">
        <f t="shared" si="0"/>
        <v>200000</v>
      </c>
    </row>
    <row r="22" spans="1:13" ht="15">
      <c r="A22" s="232" t="s">
        <v>252</v>
      </c>
      <c r="B22" s="241"/>
      <c r="C22" s="241">
        <v>40000</v>
      </c>
      <c r="D22" s="241">
        <v>40000</v>
      </c>
      <c r="E22" s="241">
        <v>40000</v>
      </c>
      <c r="F22" s="241">
        <v>40000</v>
      </c>
      <c r="G22" s="241">
        <v>40000</v>
      </c>
      <c r="H22" s="241"/>
      <c r="I22" s="241"/>
      <c r="J22" s="241"/>
      <c r="K22" s="239"/>
      <c r="L22" s="239"/>
      <c r="M22" s="32">
        <f t="shared" si="0"/>
        <v>200000</v>
      </c>
    </row>
    <row r="23" spans="1:13" ht="15">
      <c r="A23" s="232" t="s">
        <v>253</v>
      </c>
      <c r="B23" s="241"/>
      <c r="C23" s="241"/>
      <c r="D23" s="241">
        <v>40000</v>
      </c>
      <c r="E23" s="241">
        <v>40000</v>
      </c>
      <c r="F23" s="241">
        <v>40000</v>
      </c>
      <c r="G23" s="241">
        <v>40000</v>
      </c>
      <c r="H23" s="241">
        <v>40000</v>
      </c>
      <c r="I23" s="241"/>
      <c r="J23" s="241"/>
      <c r="K23" s="239"/>
      <c r="L23" s="239"/>
      <c r="M23" s="32">
        <f t="shared" si="0"/>
        <v>200000</v>
      </c>
    </row>
    <row r="24" spans="1:13" ht="15">
      <c r="A24" s="232" t="s">
        <v>257</v>
      </c>
      <c r="B24" s="241"/>
      <c r="C24" s="241"/>
      <c r="D24" s="241">
        <v>40000</v>
      </c>
      <c r="E24" s="241">
        <v>40000</v>
      </c>
      <c r="F24" s="241">
        <v>40000</v>
      </c>
      <c r="G24" s="241">
        <v>40000</v>
      </c>
      <c r="H24" s="241">
        <v>40000</v>
      </c>
      <c r="I24" s="241"/>
      <c r="J24" s="241"/>
      <c r="K24" s="239"/>
      <c r="L24" s="239"/>
      <c r="M24" s="32">
        <f t="shared" si="0"/>
        <v>200000</v>
      </c>
    </row>
    <row r="25" spans="1:13" ht="15">
      <c r="A25" s="232" t="s">
        <v>254</v>
      </c>
      <c r="B25" s="241"/>
      <c r="C25" s="241"/>
      <c r="D25" s="241"/>
      <c r="E25" s="241">
        <v>40000</v>
      </c>
      <c r="F25" s="241">
        <v>40000</v>
      </c>
      <c r="G25" s="241">
        <v>40000</v>
      </c>
      <c r="H25" s="241">
        <v>40000</v>
      </c>
      <c r="I25" s="241">
        <v>40000</v>
      </c>
      <c r="J25" s="241"/>
      <c r="K25" s="239"/>
      <c r="L25" s="239"/>
      <c r="M25" s="32">
        <f t="shared" si="0"/>
        <v>200000</v>
      </c>
    </row>
    <row r="26" spans="1:13" ht="15">
      <c r="A26" s="232" t="s">
        <v>258</v>
      </c>
      <c r="B26" s="241"/>
      <c r="C26" s="241"/>
      <c r="D26" s="241"/>
      <c r="E26" s="241">
        <v>40000</v>
      </c>
      <c r="F26" s="241">
        <v>40000</v>
      </c>
      <c r="G26" s="241">
        <v>40000</v>
      </c>
      <c r="H26" s="241">
        <v>40000</v>
      </c>
      <c r="I26" s="241">
        <v>40000</v>
      </c>
      <c r="J26" s="241"/>
      <c r="K26" s="239"/>
      <c r="L26" s="239"/>
      <c r="M26" s="32">
        <f t="shared" si="0"/>
        <v>200000</v>
      </c>
    </row>
    <row r="27" spans="1:13" ht="15">
      <c r="A27" s="232" t="s">
        <v>255</v>
      </c>
      <c r="B27" s="241"/>
      <c r="C27" s="241"/>
      <c r="D27" s="241"/>
      <c r="E27" s="241"/>
      <c r="F27" s="241">
        <v>40000</v>
      </c>
      <c r="G27" s="241">
        <v>40000</v>
      </c>
      <c r="H27" s="241">
        <v>40000</v>
      </c>
      <c r="I27" s="241">
        <v>40000</v>
      </c>
      <c r="J27" s="241">
        <v>40000</v>
      </c>
      <c r="K27" s="239"/>
      <c r="L27" s="239"/>
      <c r="M27" s="32">
        <f t="shared" si="0"/>
        <v>200000</v>
      </c>
    </row>
    <row r="28" spans="1:13" ht="15">
      <c r="A28" s="232" t="s">
        <v>259</v>
      </c>
      <c r="B28" s="241"/>
      <c r="C28" s="241"/>
      <c r="D28" s="241"/>
      <c r="E28" s="241"/>
      <c r="F28" s="241">
        <v>40000</v>
      </c>
      <c r="G28" s="241">
        <v>40000</v>
      </c>
      <c r="H28" s="241">
        <v>40000</v>
      </c>
      <c r="I28" s="241">
        <v>40000</v>
      </c>
      <c r="J28" s="241">
        <v>40000</v>
      </c>
      <c r="K28" s="239"/>
      <c r="L28" s="239"/>
      <c r="M28" s="32">
        <f t="shared" si="0"/>
        <v>200000</v>
      </c>
    </row>
    <row r="29" spans="1:13" ht="15">
      <c r="A29" s="232" t="s">
        <v>260</v>
      </c>
      <c r="B29" s="241"/>
      <c r="C29" s="241"/>
      <c r="D29" s="241"/>
      <c r="E29" s="241"/>
      <c r="F29" s="241">
        <v>40000</v>
      </c>
      <c r="G29" s="241">
        <v>40000</v>
      </c>
      <c r="H29" s="241">
        <v>40000</v>
      </c>
      <c r="I29" s="241">
        <v>40000</v>
      </c>
      <c r="J29" s="241">
        <v>40000</v>
      </c>
      <c r="K29" s="239"/>
      <c r="L29" s="239"/>
      <c r="M29" s="32">
        <f t="shared" si="0"/>
        <v>200000</v>
      </c>
    </row>
    <row r="30" spans="1:13" ht="15">
      <c r="A30" s="232" t="s">
        <v>261</v>
      </c>
      <c r="B30" s="241"/>
      <c r="C30" s="241"/>
      <c r="D30" s="241"/>
      <c r="E30" s="241"/>
      <c r="F30" s="241">
        <v>40000</v>
      </c>
      <c r="G30" s="241">
        <v>40000</v>
      </c>
      <c r="H30" s="241">
        <v>40000</v>
      </c>
      <c r="I30" s="241">
        <v>40000</v>
      </c>
      <c r="J30" s="241">
        <v>40000</v>
      </c>
      <c r="K30" s="239"/>
      <c r="L30" s="240"/>
      <c r="M30" s="32">
        <f t="shared" si="0"/>
        <v>200000</v>
      </c>
    </row>
    <row r="31" spans="1:13" ht="15">
      <c r="A31" s="232" t="s">
        <v>262</v>
      </c>
      <c r="B31" s="241"/>
      <c r="C31" s="241"/>
      <c r="D31" s="241"/>
      <c r="E31" s="241"/>
      <c r="F31" s="241"/>
      <c r="G31" s="241">
        <v>40000</v>
      </c>
      <c r="H31" s="241">
        <v>40000</v>
      </c>
      <c r="I31" s="241">
        <v>40000</v>
      </c>
      <c r="J31" s="241">
        <v>40000</v>
      </c>
      <c r="K31" s="241">
        <v>40000</v>
      </c>
      <c r="L31" s="240"/>
      <c r="M31" s="32">
        <f t="shared" si="0"/>
        <v>200000</v>
      </c>
    </row>
    <row r="32" spans="1:13" ht="15">
      <c r="A32" s="232" t="s">
        <v>263</v>
      </c>
      <c r="B32" s="241"/>
      <c r="C32" s="241"/>
      <c r="D32" s="241"/>
      <c r="E32" s="241"/>
      <c r="F32" s="241"/>
      <c r="G32" s="241">
        <v>40000</v>
      </c>
      <c r="H32" s="241">
        <v>40000</v>
      </c>
      <c r="I32" s="241">
        <v>40000</v>
      </c>
      <c r="J32" s="241">
        <v>40000</v>
      </c>
      <c r="K32" s="241">
        <v>40000</v>
      </c>
      <c r="L32" s="240"/>
      <c r="M32" s="32">
        <f t="shared" si="0"/>
        <v>200000</v>
      </c>
    </row>
    <row r="33" spans="1:13" ht="15">
      <c r="A33" s="232"/>
      <c r="B33" s="241"/>
      <c r="C33" s="241"/>
      <c r="D33" s="241"/>
      <c r="E33" s="241"/>
      <c r="F33" s="241"/>
      <c r="G33" s="241"/>
      <c r="H33" s="241"/>
      <c r="I33" s="241"/>
      <c r="J33" s="241"/>
      <c r="K33" s="241"/>
      <c r="L33" s="240"/>
      <c r="M33" s="32"/>
    </row>
    <row r="34" spans="1:13" ht="15">
      <c r="A34" s="233" t="s">
        <v>265</v>
      </c>
      <c r="B34" s="154">
        <f>SUM(B21:B33)</f>
        <v>40000</v>
      </c>
      <c r="C34" s="154">
        <f aca="true" t="shared" si="2" ref="C34:K34">SUM(C21:C33)</f>
        <v>80000</v>
      </c>
      <c r="D34" s="154">
        <f t="shared" si="2"/>
        <v>160000</v>
      </c>
      <c r="E34" s="154">
        <f t="shared" si="2"/>
        <v>240000</v>
      </c>
      <c r="F34" s="154">
        <f t="shared" si="2"/>
        <v>400000</v>
      </c>
      <c r="G34" s="154">
        <f t="shared" si="2"/>
        <v>440000</v>
      </c>
      <c r="H34" s="154">
        <f t="shared" si="2"/>
        <v>400000</v>
      </c>
      <c r="I34" s="154">
        <f t="shared" si="2"/>
        <v>320000</v>
      </c>
      <c r="J34" s="154">
        <f t="shared" si="2"/>
        <v>240000</v>
      </c>
      <c r="K34" s="154">
        <f t="shared" si="2"/>
        <v>80000</v>
      </c>
      <c r="L34" s="163"/>
      <c r="M34" s="32">
        <f>SUM(M21:M32)</f>
        <v>2400000</v>
      </c>
    </row>
    <row r="35" spans="1:13" ht="15.75" thickBot="1">
      <c r="A35" s="234" t="s">
        <v>249</v>
      </c>
      <c r="B35" s="155">
        <f>B34</f>
        <v>40000</v>
      </c>
      <c r="C35" s="155">
        <f>B34+C34</f>
        <v>120000</v>
      </c>
      <c r="D35" s="155">
        <f>B34+C34+D34</f>
        <v>280000</v>
      </c>
      <c r="E35" s="155">
        <f>SUM(B34:E34)</f>
        <v>520000</v>
      </c>
      <c r="F35" s="155">
        <f>SUM(B34:F34)</f>
        <v>920000</v>
      </c>
      <c r="G35" s="155">
        <f>SUM(B34:G34)</f>
        <v>1360000</v>
      </c>
      <c r="H35" s="155">
        <f>SUM(B34:H34)</f>
        <v>1760000</v>
      </c>
      <c r="I35" s="155">
        <f>SUM(B34:I34)</f>
        <v>2080000</v>
      </c>
      <c r="J35" s="155">
        <f>SUM(B34:J34)</f>
        <v>2320000</v>
      </c>
      <c r="K35" s="155">
        <f>SUM(B34:K34)</f>
        <v>2400000</v>
      </c>
      <c r="L35" s="164"/>
      <c r="M35" s="161"/>
    </row>
    <row r="36" spans="1:13" ht="16.5" thickBot="1" thickTop="1">
      <c r="A36" s="232"/>
      <c r="B36" s="102"/>
      <c r="C36" s="102"/>
      <c r="D36" s="102"/>
      <c r="E36" s="102"/>
      <c r="F36" s="102"/>
      <c r="G36" s="102"/>
      <c r="H36" s="102"/>
      <c r="I36" s="102"/>
      <c r="J36" s="102"/>
      <c r="K36" s="102"/>
      <c r="L36" s="102"/>
      <c r="M36" s="161"/>
    </row>
    <row r="37" spans="1:13" ht="15.75" thickBot="1">
      <c r="A37" s="235" t="s">
        <v>267</v>
      </c>
      <c r="B37" s="242">
        <f aca="true" t="shared" si="3" ref="B37:K37">B18+B34</f>
        <v>-160000</v>
      </c>
      <c r="C37" s="242">
        <f t="shared" si="3"/>
        <v>-120000</v>
      </c>
      <c r="D37" s="242">
        <f t="shared" si="3"/>
        <v>-240000</v>
      </c>
      <c r="E37" s="242">
        <f t="shared" si="3"/>
        <v>-160000</v>
      </c>
      <c r="F37" s="242">
        <f t="shared" si="3"/>
        <v>-400000</v>
      </c>
      <c r="G37" s="242">
        <f t="shared" si="3"/>
        <v>40000</v>
      </c>
      <c r="H37" s="242">
        <f t="shared" si="3"/>
        <v>400000</v>
      </c>
      <c r="I37" s="242">
        <f t="shared" si="3"/>
        <v>320000</v>
      </c>
      <c r="J37" s="242">
        <f t="shared" si="3"/>
        <v>240000</v>
      </c>
      <c r="K37" s="243">
        <f t="shared" si="3"/>
        <v>80000</v>
      </c>
      <c r="L37" s="244"/>
      <c r="M37" s="245"/>
    </row>
    <row r="38" spans="1:11" ht="15">
      <c r="A38" s="216"/>
      <c r="C38" s="140"/>
      <c r="D38" s="140"/>
      <c r="E38" s="140"/>
      <c r="F38" s="140"/>
      <c r="G38" s="140"/>
      <c r="H38" s="140"/>
      <c r="I38" s="140"/>
      <c r="J38" s="140"/>
      <c r="K38" s="140"/>
    </row>
    <row r="39" spans="1:11" ht="15.75" thickBot="1">
      <c r="A39" s="216"/>
      <c r="B39" s="140"/>
      <c r="C39" s="140"/>
      <c r="D39" s="140"/>
      <c r="E39" s="140"/>
      <c r="F39" s="140"/>
      <c r="G39" s="140"/>
      <c r="H39" s="140"/>
      <c r="I39" s="140"/>
      <c r="J39" s="140"/>
      <c r="K39" s="140"/>
    </row>
    <row r="40" spans="1:13" ht="15">
      <c r="A40" s="236" t="s">
        <v>268</v>
      </c>
      <c r="B40" s="158"/>
      <c r="C40" s="158"/>
      <c r="D40" s="158"/>
      <c r="E40" s="158"/>
      <c r="F40" s="158"/>
      <c r="G40" s="158"/>
      <c r="H40" s="158"/>
      <c r="I40" s="158"/>
      <c r="J40" s="158"/>
      <c r="K40" s="158"/>
      <c r="L40" s="158"/>
      <c r="M40" s="159"/>
    </row>
    <row r="41" spans="1:13" ht="15">
      <c r="A41" s="232" t="s">
        <v>276</v>
      </c>
      <c r="B41" s="240"/>
      <c r="C41" s="240">
        <v>1</v>
      </c>
      <c r="D41" s="240">
        <v>2</v>
      </c>
      <c r="E41" s="240">
        <v>4</v>
      </c>
      <c r="F41" s="240">
        <v>6</v>
      </c>
      <c r="G41" s="240">
        <v>8</v>
      </c>
      <c r="H41" s="240"/>
      <c r="I41" s="240"/>
      <c r="J41" s="240"/>
      <c r="K41" s="240"/>
      <c r="L41" s="240"/>
      <c r="M41" s="161"/>
    </row>
    <row r="42" spans="1:13" ht="15">
      <c r="A42" s="169" t="s">
        <v>68</v>
      </c>
      <c r="B42" s="174" t="s">
        <v>75</v>
      </c>
      <c r="C42" s="174" t="s">
        <v>69</v>
      </c>
      <c r="D42" s="174" t="s">
        <v>73</v>
      </c>
      <c r="E42" s="174" t="s">
        <v>74</v>
      </c>
      <c r="F42" s="174" t="s">
        <v>76</v>
      </c>
      <c r="G42" s="174" t="s">
        <v>77</v>
      </c>
      <c r="H42" s="237" t="s">
        <v>241</v>
      </c>
      <c r="I42" s="237" t="s">
        <v>242</v>
      </c>
      <c r="J42" s="237" t="s">
        <v>243</v>
      </c>
      <c r="K42" s="237" t="s">
        <v>244</v>
      </c>
      <c r="L42" s="237" t="s">
        <v>245</v>
      </c>
      <c r="M42" s="162" t="s">
        <v>264</v>
      </c>
    </row>
    <row r="43" spans="1:13" ht="15">
      <c r="A43" s="169" t="s">
        <v>194</v>
      </c>
      <c r="B43" s="181"/>
      <c r="C43" s="181">
        <v>200000</v>
      </c>
      <c r="D43" s="181">
        <v>200000</v>
      </c>
      <c r="E43" s="181">
        <v>400000</v>
      </c>
      <c r="F43" s="181">
        <v>400000</v>
      </c>
      <c r="G43" s="181">
        <v>400000</v>
      </c>
      <c r="H43" s="238"/>
      <c r="I43" s="238"/>
      <c r="J43" s="238"/>
      <c r="K43" s="238"/>
      <c r="L43" s="238"/>
      <c r="M43" s="32"/>
    </row>
    <row r="44" spans="1:13" ht="15">
      <c r="A44" s="232" t="s">
        <v>237</v>
      </c>
      <c r="B44" s="239"/>
      <c r="C44" s="239">
        <v>-200000</v>
      </c>
      <c r="D44" s="239"/>
      <c r="E44" s="239"/>
      <c r="F44" s="239"/>
      <c r="G44" s="239"/>
      <c r="H44" s="239"/>
      <c r="I44" s="240"/>
      <c r="J44" s="240"/>
      <c r="K44" s="240"/>
      <c r="L44" s="240"/>
      <c r="M44" s="32">
        <f aca="true" t="shared" si="4" ref="M44:M51">SUM(B44:L44)</f>
        <v>-200000</v>
      </c>
    </row>
    <row r="45" spans="1:13" ht="15">
      <c r="A45" s="232" t="s">
        <v>278</v>
      </c>
      <c r="B45" s="239"/>
      <c r="C45" s="239"/>
      <c r="D45" s="239">
        <v>-200000</v>
      </c>
      <c r="E45" s="239"/>
      <c r="F45" s="239"/>
      <c r="G45" s="239"/>
      <c r="H45" s="239"/>
      <c r="I45" s="239"/>
      <c r="J45" s="239"/>
      <c r="K45" s="239"/>
      <c r="L45" s="239"/>
      <c r="M45" s="32">
        <f t="shared" si="4"/>
        <v>-200000</v>
      </c>
    </row>
    <row r="46" spans="1:13" ht="15">
      <c r="A46" s="232" t="s">
        <v>236</v>
      </c>
      <c r="B46" s="239"/>
      <c r="C46" s="239"/>
      <c r="D46" s="239"/>
      <c r="E46" s="239">
        <v>-200000</v>
      </c>
      <c r="F46" s="239"/>
      <c r="G46" s="239"/>
      <c r="H46" s="239"/>
      <c r="I46" s="239"/>
      <c r="J46" s="239"/>
      <c r="K46" s="239"/>
      <c r="L46" s="239"/>
      <c r="M46" s="32">
        <f t="shared" si="4"/>
        <v>-200000</v>
      </c>
    </row>
    <row r="47" spans="1:13" ht="15">
      <c r="A47" s="232" t="s">
        <v>279</v>
      </c>
      <c r="B47" s="239"/>
      <c r="C47" s="239"/>
      <c r="D47" s="240"/>
      <c r="E47" s="239">
        <v>-200000</v>
      </c>
      <c r="F47" s="239"/>
      <c r="G47" s="239"/>
      <c r="H47" s="239"/>
      <c r="I47" s="239"/>
      <c r="J47" s="239"/>
      <c r="K47" s="239"/>
      <c r="L47" s="239"/>
      <c r="M47" s="32">
        <f t="shared" si="4"/>
        <v>-200000</v>
      </c>
    </row>
    <row r="48" spans="1:13" ht="15">
      <c r="A48" s="232" t="s">
        <v>238</v>
      </c>
      <c r="B48" s="239"/>
      <c r="C48" s="239"/>
      <c r="D48" s="239"/>
      <c r="E48" s="240"/>
      <c r="F48" s="239">
        <v>-200000</v>
      </c>
      <c r="G48" s="239"/>
      <c r="H48" s="239"/>
      <c r="I48" s="239"/>
      <c r="J48" s="239"/>
      <c r="K48" s="239"/>
      <c r="L48" s="239"/>
      <c r="M48" s="32">
        <f t="shared" si="4"/>
        <v>-200000</v>
      </c>
    </row>
    <row r="49" spans="1:13" ht="15">
      <c r="A49" s="232" t="s">
        <v>239</v>
      </c>
      <c r="B49" s="239"/>
      <c r="C49" s="239"/>
      <c r="D49" s="239"/>
      <c r="E49" s="239"/>
      <c r="F49" s="239">
        <v>-200000</v>
      </c>
      <c r="G49" s="239"/>
      <c r="H49" s="239"/>
      <c r="I49" s="239"/>
      <c r="J49" s="239"/>
      <c r="K49" s="239"/>
      <c r="L49" s="239"/>
      <c r="M49" s="32">
        <f t="shared" si="4"/>
        <v>-200000</v>
      </c>
    </row>
    <row r="50" spans="1:13" ht="15">
      <c r="A50" s="232" t="s">
        <v>240</v>
      </c>
      <c r="B50" s="239"/>
      <c r="C50" s="239"/>
      <c r="D50" s="239"/>
      <c r="E50" s="239"/>
      <c r="F50" s="240"/>
      <c r="G50" s="239">
        <v>-200000</v>
      </c>
      <c r="H50" s="239"/>
      <c r="I50" s="239"/>
      <c r="J50" s="239"/>
      <c r="K50" s="239"/>
      <c r="L50" s="239"/>
      <c r="M50" s="32">
        <f t="shared" si="4"/>
        <v>-200000</v>
      </c>
    </row>
    <row r="51" spans="1:13" ht="15">
      <c r="A51" s="232" t="s">
        <v>256</v>
      </c>
      <c r="B51" s="239"/>
      <c r="C51" s="239"/>
      <c r="D51" s="239"/>
      <c r="E51" s="239"/>
      <c r="F51" s="240"/>
      <c r="G51" s="239">
        <v>-200000</v>
      </c>
      <c r="H51" s="239"/>
      <c r="I51" s="239"/>
      <c r="J51" s="239"/>
      <c r="K51" s="239"/>
      <c r="L51" s="239"/>
      <c r="M51" s="32">
        <f t="shared" si="4"/>
        <v>-200000</v>
      </c>
    </row>
    <row r="52" spans="1:13" ht="15">
      <c r="A52" s="233" t="s">
        <v>266</v>
      </c>
      <c r="B52" s="143">
        <f>SUM(B44:B51)</f>
        <v>0</v>
      </c>
      <c r="C52" s="143">
        <f>SUM(C44:C51)</f>
        <v>-200000</v>
      </c>
      <c r="D52" s="143">
        <f>SUM(D44:D51)</f>
        <v>-200000</v>
      </c>
      <c r="E52" s="143">
        <f>SUM(E44:E51)</f>
        <v>-400000</v>
      </c>
      <c r="F52" s="143">
        <f>SUM(F44:F49)</f>
        <v>-400000</v>
      </c>
      <c r="G52" s="143">
        <f>SUM(G44:G51)</f>
        <v>-400000</v>
      </c>
      <c r="H52" s="143"/>
      <c r="I52" s="143"/>
      <c r="J52" s="143"/>
      <c r="K52" s="143"/>
      <c r="L52" s="153"/>
      <c r="M52" s="32">
        <f>SUM(M44:M51)</f>
        <v>-1600000</v>
      </c>
    </row>
    <row r="53" spans="1:13" ht="15">
      <c r="A53" s="232"/>
      <c r="B53" s="240"/>
      <c r="C53" s="239"/>
      <c r="D53" s="239"/>
      <c r="E53" s="239"/>
      <c r="F53" s="239"/>
      <c r="G53" s="239"/>
      <c r="H53" s="239"/>
      <c r="I53" s="239"/>
      <c r="J53" s="239"/>
      <c r="K53" s="239"/>
      <c r="L53" s="239"/>
      <c r="M53" s="32"/>
    </row>
    <row r="54" spans="1:13" ht="15">
      <c r="A54" s="298" t="s">
        <v>247</v>
      </c>
      <c r="B54" s="240"/>
      <c r="C54" s="240"/>
      <c r="D54" s="240"/>
      <c r="E54" s="240"/>
      <c r="F54" s="240"/>
      <c r="G54" s="240"/>
      <c r="H54" s="239"/>
      <c r="I54" s="239"/>
      <c r="J54" s="239"/>
      <c r="K54" s="239"/>
      <c r="L54" s="239"/>
      <c r="M54" s="32"/>
    </row>
    <row r="55" spans="1:13" ht="15">
      <c r="A55" s="232" t="s">
        <v>237</v>
      </c>
      <c r="B55" s="241"/>
      <c r="C55" s="241">
        <v>40000</v>
      </c>
      <c r="D55" s="241">
        <v>40000</v>
      </c>
      <c r="E55" s="241">
        <v>40000</v>
      </c>
      <c r="F55" s="241">
        <v>40000</v>
      </c>
      <c r="G55" s="241">
        <v>40000</v>
      </c>
      <c r="H55" s="241"/>
      <c r="I55" s="241"/>
      <c r="J55" s="241"/>
      <c r="K55" s="239"/>
      <c r="L55" s="239"/>
      <c r="M55" s="32">
        <f aca="true" t="shared" si="5" ref="M55:M62">SUM(B55:L55)</f>
        <v>200000</v>
      </c>
    </row>
    <row r="56" spans="1:13" ht="15">
      <c r="A56" s="232" t="s">
        <v>269</v>
      </c>
      <c r="B56" s="241"/>
      <c r="C56" s="241"/>
      <c r="D56" s="241">
        <v>40000</v>
      </c>
      <c r="E56" s="241">
        <v>40000</v>
      </c>
      <c r="F56" s="241">
        <v>40000</v>
      </c>
      <c r="G56" s="241">
        <v>40000</v>
      </c>
      <c r="H56" s="241">
        <v>40000</v>
      </c>
      <c r="I56" s="241"/>
      <c r="J56" s="241"/>
      <c r="K56" s="239"/>
      <c r="L56" s="239"/>
      <c r="M56" s="32">
        <f t="shared" si="5"/>
        <v>200000</v>
      </c>
    </row>
    <row r="57" spans="1:13" ht="15">
      <c r="A57" s="232" t="s">
        <v>236</v>
      </c>
      <c r="B57" s="241"/>
      <c r="C57" s="241"/>
      <c r="D57" s="241"/>
      <c r="E57" s="241">
        <v>40000</v>
      </c>
      <c r="F57" s="241">
        <v>40000</v>
      </c>
      <c r="G57" s="241">
        <v>40000</v>
      </c>
      <c r="H57" s="241">
        <v>40000</v>
      </c>
      <c r="I57" s="241">
        <v>40000</v>
      </c>
      <c r="J57" s="241"/>
      <c r="K57" s="239"/>
      <c r="L57" s="239"/>
      <c r="M57" s="32">
        <f t="shared" si="5"/>
        <v>200000</v>
      </c>
    </row>
    <row r="58" spans="1:13" ht="15">
      <c r="A58" s="232" t="s">
        <v>279</v>
      </c>
      <c r="B58" s="241"/>
      <c r="C58" s="241"/>
      <c r="D58" s="241"/>
      <c r="E58" s="241">
        <v>40000</v>
      </c>
      <c r="F58" s="241">
        <v>40000</v>
      </c>
      <c r="G58" s="241">
        <v>40000</v>
      </c>
      <c r="H58" s="241">
        <v>40000</v>
      </c>
      <c r="I58" s="241">
        <v>40000</v>
      </c>
      <c r="J58" s="241"/>
      <c r="K58" s="239"/>
      <c r="L58" s="239"/>
      <c r="M58" s="32">
        <f t="shared" si="5"/>
        <v>200000</v>
      </c>
    </row>
    <row r="59" spans="1:13" ht="15">
      <c r="A59" s="232" t="s">
        <v>238</v>
      </c>
      <c r="B59" s="241"/>
      <c r="C59" s="241"/>
      <c r="D59" s="241"/>
      <c r="E59" s="241"/>
      <c r="F59" s="241">
        <v>40000</v>
      </c>
      <c r="G59" s="241">
        <v>40000</v>
      </c>
      <c r="H59" s="241">
        <v>40000</v>
      </c>
      <c r="I59" s="241">
        <v>40000</v>
      </c>
      <c r="J59" s="241">
        <v>40000</v>
      </c>
      <c r="K59" s="239"/>
      <c r="L59" s="239"/>
      <c r="M59" s="32">
        <f t="shared" si="5"/>
        <v>200000</v>
      </c>
    </row>
    <row r="60" spans="1:13" ht="15">
      <c r="A60" s="232" t="s">
        <v>239</v>
      </c>
      <c r="B60" s="241"/>
      <c r="C60" s="241"/>
      <c r="D60" s="241"/>
      <c r="E60" s="241"/>
      <c r="F60" s="241">
        <v>40000</v>
      </c>
      <c r="G60" s="241">
        <v>40000</v>
      </c>
      <c r="H60" s="241">
        <v>40000</v>
      </c>
      <c r="I60" s="241">
        <v>40000</v>
      </c>
      <c r="J60" s="241">
        <v>40000</v>
      </c>
      <c r="K60" s="239"/>
      <c r="L60" s="239"/>
      <c r="M60" s="32">
        <f t="shared" si="5"/>
        <v>200000</v>
      </c>
    </row>
    <row r="61" spans="1:13" ht="15">
      <c r="A61" s="232" t="s">
        <v>240</v>
      </c>
      <c r="B61" s="241"/>
      <c r="C61" s="241"/>
      <c r="D61" s="241"/>
      <c r="E61" s="241"/>
      <c r="F61" s="241"/>
      <c r="G61" s="241">
        <v>40000</v>
      </c>
      <c r="H61" s="241">
        <v>40000</v>
      </c>
      <c r="I61" s="241">
        <v>40000</v>
      </c>
      <c r="J61" s="241">
        <v>40000</v>
      </c>
      <c r="K61" s="241">
        <v>40000</v>
      </c>
      <c r="L61" s="239"/>
      <c r="M61" s="32">
        <f t="shared" si="5"/>
        <v>200000</v>
      </c>
    </row>
    <row r="62" spans="1:13" ht="15">
      <c r="A62" s="232" t="s">
        <v>256</v>
      </c>
      <c r="B62" s="241"/>
      <c r="C62" s="241"/>
      <c r="D62" s="241"/>
      <c r="E62" s="241"/>
      <c r="F62" s="241"/>
      <c r="G62" s="241">
        <v>40000</v>
      </c>
      <c r="H62" s="241">
        <v>40000</v>
      </c>
      <c r="I62" s="241">
        <v>40000</v>
      </c>
      <c r="J62" s="241">
        <v>40000</v>
      </c>
      <c r="K62" s="241">
        <v>40000</v>
      </c>
      <c r="L62" s="239"/>
      <c r="M62" s="32">
        <f t="shared" si="5"/>
        <v>200000</v>
      </c>
    </row>
    <row r="63" spans="1:13" ht="15">
      <c r="A63" s="232"/>
      <c r="B63" s="241"/>
      <c r="C63" s="241"/>
      <c r="D63" s="241"/>
      <c r="E63" s="241"/>
      <c r="F63" s="241"/>
      <c r="G63" s="241"/>
      <c r="H63" s="241"/>
      <c r="I63" s="241"/>
      <c r="J63" s="241"/>
      <c r="K63" s="241"/>
      <c r="L63" s="240"/>
      <c r="M63" s="32"/>
    </row>
    <row r="64" spans="1:13" ht="15">
      <c r="A64" s="233" t="s">
        <v>265</v>
      </c>
      <c r="B64" s="154">
        <f>SUM(B55:B63)</f>
        <v>0</v>
      </c>
      <c r="C64" s="154">
        <f>SUM(C54:C63)</f>
        <v>40000</v>
      </c>
      <c r="D64" s="154">
        <f aca="true" t="shared" si="6" ref="D64:K64">SUM(D54:D63)</f>
        <v>80000</v>
      </c>
      <c r="E64" s="154">
        <f t="shared" si="6"/>
        <v>160000</v>
      </c>
      <c r="F64" s="154">
        <f t="shared" si="6"/>
        <v>240000</v>
      </c>
      <c r="G64" s="154">
        <f t="shared" si="6"/>
        <v>320000</v>
      </c>
      <c r="H64" s="154">
        <f t="shared" si="6"/>
        <v>280000</v>
      </c>
      <c r="I64" s="154">
        <f t="shared" si="6"/>
        <v>240000</v>
      </c>
      <c r="J64" s="154">
        <f t="shared" si="6"/>
        <v>160000</v>
      </c>
      <c r="K64" s="154">
        <f t="shared" si="6"/>
        <v>80000</v>
      </c>
      <c r="L64" s="163"/>
      <c r="M64" s="32">
        <f>SUM(M55:M62)</f>
        <v>1600000</v>
      </c>
    </row>
    <row r="65" spans="1:13" ht="15.75" thickBot="1">
      <c r="A65" s="234" t="s">
        <v>249</v>
      </c>
      <c r="B65" s="155">
        <f>B64</f>
        <v>0</v>
      </c>
      <c r="C65" s="155">
        <f>B64+C64</f>
        <v>40000</v>
      </c>
      <c r="D65" s="155">
        <f>B64+C64+D64</f>
        <v>120000</v>
      </c>
      <c r="E65" s="155">
        <f>SUM(B64:E64)</f>
        <v>280000</v>
      </c>
      <c r="F65" s="155">
        <f>SUM(B64:F64)</f>
        <v>520000</v>
      </c>
      <c r="G65" s="155">
        <f>SUM(B64:G64)</f>
        <v>840000</v>
      </c>
      <c r="H65" s="155">
        <f>SUM(B64:H64)</f>
        <v>1120000</v>
      </c>
      <c r="I65" s="155">
        <f>SUM(B64:I64)</f>
        <v>1360000</v>
      </c>
      <c r="J65" s="155">
        <f>SUM(B64:J64)</f>
        <v>1520000</v>
      </c>
      <c r="K65" s="155">
        <f>SUM(B64:K64)</f>
        <v>1600000</v>
      </c>
      <c r="L65" s="164"/>
      <c r="M65" s="161"/>
    </row>
    <row r="66" spans="1:13" ht="16.5" thickBot="1" thickTop="1">
      <c r="A66" s="232"/>
      <c r="B66" s="102"/>
      <c r="C66" s="102"/>
      <c r="D66" s="102"/>
      <c r="E66" s="102"/>
      <c r="F66" s="102"/>
      <c r="G66" s="102"/>
      <c r="H66" s="102"/>
      <c r="I66" s="102"/>
      <c r="J66" s="102"/>
      <c r="K66" s="102"/>
      <c r="L66" s="102"/>
      <c r="M66" s="161"/>
    </row>
    <row r="67" spans="1:13" ht="15.75" thickBot="1">
      <c r="A67" s="235" t="s">
        <v>273</v>
      </c>
      <c r="B67" s="156">
        <f aca="true" t="shared" si="7" ref="B67:K67">B52+B64</f>
        <v>0</v>
      </c>
      <c r="C67" s="156">
        <f t="shared" si="7"/>
        <v>-160000</v>
      </c>
      <c r="D67" s="156">
        <f t="shared" si="7"/>
        <v>-120000</v>
      </c>
      <c r="E67" s="156">
        <f t="shared" si="7"/>
        <v>-240000</v>
      </c>
      <c r="F67" s="156">
        <f t="shared" si="7"/>
        <v>-160000</v>
      </c>
      <c r="G67" s="156">
        <f t="shared" si="7"/>
        <v>-80000</v>
      </c>
      <c r="H67" s="156">
        <f t="shared" si="7"/>
        <v>280000</v>
      </c>
      <c r="I67" s="156">
        <f t="shared" si="7"/>
        <v>240000</v>
      </c>
      <c r="J67" s="156">
        <f t="shared" si="7"/>
        <v>160000</v>
      </c>
      <c r="K67" s="157">
        <f t="shared" si="7"/>
        <v>80000</v>
      </c>
      <c r="L67" s="165"/>
      <c r="M67" s="166"/>
    </row>
    <row r="68" ht="15">
      <c r="A68" s="216"/>
    </row>
    <row r="69" ht="15.75" thickBot="1">
      <c r="A69" s="216"/>
    </row>
    <row r="70" spans="1:13" ht="15">
      <c r="A70" s="236" t="s">
        <v>271</v>
      </c>
      <c r="B70" s="246"/>
      <c r="C70" s="246"/>
      <c r="D70" s="246"/>
      <c r="E70" s="246"/>
      <c r="F70" s="246"/>
      <c r="G70" s="246"/>
      <c r="H70" s="246"/>
      <c r="I70" s="246"/>
      <c r="J70" s="246"/>
      <c r="K70" s="246"/>
      <c r="L70" s="246"/>
      <c r="M70" s="159"/>
    </row>
    <row r="71" spans="1:13" ht="15">
      <c r="A71" s="232" t="s">
        <v>277</v>
      </c>
      <c r="B71" s="240"/>
      <c r="C71" s="240">
        <v>1</v>
      </c>
      <c r="D71" s="240">
        <v>1</v>
      </c>
      <c r="E71" s="240">
        <v>2</v>
      </c>
      <c r="F71" s="222">
        <v>4</v>
      </c>
      <c r="G71" s="222">
        <v>5</v>
      </c>
      <c r="H71" s="240"/>
      <c r="I71" s="240"/>
      <c r="J71" s="240"/>
      <c r="K71" s="240"/>
      <c r="L71" s="240"/>
      <c r="M71" s="161"/>
    </row>
    <row r="72" spans="1:13" ht="15">
      <c r="A72" s="169" t="s">
        <v>68</v>
      </c>
      <c r="B72" s="174" t="s">
        <v>75</v>
      </c>
      <c r="C72" s="174" t="s">
        <v>69</v>
      </c>
      <c r="D72" s="174" t="s">
        <v>73</v>
      </c>
      <c r="E72" s="174" t="s">
        <v>74</v>
      </c>
      <c r="F72" s="174" t="s">
        <v>76</v>
      </c>
      <c r="G72" s="174" t="s">
        <v>77</v>
      </c>
      <c r="H72" s="237" t="s">
        <v>241</v>
      </c>
      <c r="I72" s="237" t="s">
        <v>242</v>
      </c>
      <c r="J72" s="237" t="s">
        <v>243</v>
      </c>
      <c r="K72" s="237" t="s">
        <v>244</v>
      </c>
      <c r="L72" s="237" t="s">
        <v>245</v>
      </c>
      <c r="M72" s="162" t="s">
        <v>264</v>
      </c>
    </row>
    <row r="73" spans="1:13" ht="15">
      <c r="A73" s="169" t="s">
        <v>194</v>
      </c>
      <c r="B73" s="181"/>
      <c r="C73" s="181">
        <v>200000</v>
      </c>
      <c r="D73" s="181">
        <v>200000</v>
      </c>
      <c r="E73" s="181">
        <v>200000</v>
      </c>
      <c r="F73" s="181">
        <v>200000</v>
      </c>
      <c r="G73" s="181">
        <v>200000</v>
      </c>
      <c r="H73" s="238"/>
      <c r="I73" s="238"/>
      <c r="J73" s="238"/>
      <c r="K73" s="238"/>
      <c r="L73" s="238"/>
      <c r="M73" s="32"/>
    </row>
    <row r="74" spans="1:13" ht="15">
      <c r="A74" s="232" t="s">
        <v>237</v>
      </c>
      <c r="B74" s="239"/>
      <c r="C74" s="239">
        <v>-200000</v>
      </c>
      <c r="D74" s="239"/>
      <c r="E74" s="239"/>
      <c r="F74" s="239"/>
      <c r="G74" s="239"/>
      <c r="H74" s="239"/>
      <c r="I74" s="240"/>
      <c r="J74" s="240"/>
      <c r="K74" s="240"/>
      <c r="L74" s="240"/>
      <c r="M74" s="32">
        <f>SUM(B74:L74)</f>
        <v>-200000</v>
      </c>
    </row>
    <row r="75" spans="1:13" ht="15">
      <c r="A75" s="232" t="s">
        <v>278</v>
      </c>
      <c r="B75" s="239"/>
      <c r="C75" s="239"/>
      <c r="D75" s="239">
        <v>-200000</v>
      </c>
      <c r="E75" s="239"/>
      <c r="F75" s="239"/>
      <c r="G75" s="239"/>
      <c r="H75" s="239"/>
      <c r="I75" s="239"/>
      <c r="J75" s="239"/>
      <c r="K75" s="239"/>
      <c r="L75" s="239"/>
      <c r="M75" s="32">
        <f>SUM(B75:L75)</f>
        <v>-200000</v>
      </c>
    </row>
    <row r="76" spans="1:13" ht="15">
      <c r="A76" s="232" t="s">
        <v>236</v>
      </c>
      <c r="B76" s="239"/>
      <c r="C76" s="239"/>
      <c r="D76" s="239"/>
      <c r="E76" s="239">
        <v>-200000</v>
      </c>
      <c r="F76" s="239"/>
      <c r="G76" s="239"/>
      <c r="H76" s="239"/>
      <c r="I76" s="239"/>
      <c r="J76" s="239"/>
      <c r="K76" s="239"/>
      <c r="L76" s="239"/>
      <c r="M76" s="32">
        <f>SUM(B76:L76)</f>
        <v>-200000</v>
      </c>
    </row>
    <row r="77" spans="1:13" ht="15">
      <c r="A77" s="232" t="s">
        <v>270</v>
      </c>
      <c r="B77" s="239"/>
      <c r="C77" s="239"/>
      <c r="D77" s="240"/>
      <c r="E77" s="239"/>
      <c r="F77" s="239">
        <v>-200000</v>
      </c>
      <c r="G77" s="239"/>
      <c r="H77" s="239"/>
      <c r="I77" s="239"/>
      <c r="J77" s="239"/>
      <c r="K77" s="239"/>
      <c r="L77" s="239"/>
      <c r="M77" s="32">
        <f>SUM(B77:L77)</f>
        <v>-200000</v>
      </c>
    </row>
    <row r="78" spans="1:13" ht="15">
      <c r="A78" s="232" t="s">
        <v>272</v>
      </c>
      <c r="B78" s="239"/>
      <c r="C78" s="239"/>
      <c r="D78" s="239"/>
      <c r="E78" s="240"/>
      <c r="F78" s="239"/>
      <c r="G78" s="239">
        <v>-200000</v>
      </c>
      <c r="H78" s="239"/>
      <c r="I78" s="239"/>
      <c r="J78" s="239"/>
      <c r="K78" s="239"/>
      <c r="L78" s="239"/>
      <c r="M78" s="32">
        <f>SUM(B78:L78)</f>
        <v>-200000</v>
      </c>
    </row>
    <row r="79" spans="1:13" ht="15">
      <c r="A79" s="233" t="s">
        <v>266</v>
      </c>
      <c r="B79" s="143">
        <f aca="true" t="shared" si="8" ref="B79:G79">SUM(B74:B78)</f>
        <v>0</v>
      </c>
      <c r="C79" s="143">
        <f t="shared" si="8"/>
        <v>-200000</v>
      </c>
      <c r="D79" s="143">
        <f t="shared" si="8"/>
        <v>-200000</v>
      </c>
      <c r="E79" s="143">
        <f t="shared" si="8"/>
        <v>-200000</v>
      </c>
      <c r="F79" s="143">
        <f t="shared" si="8"/>
        <v>-200000</v>
      </c>
      <c r="G79" s="143">
        <f t="shared" si="8"/>
        <v>-200000</v>
      </c>
      <c r="H79" s="143"/>
      <c r="I79" s="143"/>
      <c r="J79" s="143"/>
      <c r="K79" s="143"/>
      <c r="L79" s="153"/>
      <c r="M79" s="32">
        <f>SUM(M74:M78)</f>
        <v>-1000000</v>
      </c>
    </row>
    <row r="80" spans="1:13" ht="15">
      <c r="A80" s="232"/>
      <c r="B80" s="240"/>
      <c r="C80" s="239"/>
      <c r="D80" s="239"/>
      <c r="E80" s="239"/>
      <c r="F80" s="239"/>
      <c r="G80" s="239"/>
      <c r="H80" s="239"/>
      <c r="I80" s="239"/>
      <c r="J80" s="239"/>
      <c r="K80" s="239"/>
      <c r="L80" s="239"/>
      <c r="M80" s="32"/>
    </row>
    <row r="81" spans="1:13" ht="15">
      <c r="A81" s="298" t="s">
        <v>247</v>
      </c>
      <c r="B81" s="240"/>
      <c r="C81" s="240"/>
      <c r="D81" s="240"/>
      <c r="E81" s="240"/>
      <c r="F81" s="240"/>
      <c r="G81" s="240"/>
      <c r="H81" s="239"/>
      <c r="I81" s="239"/>
      <c r="J81" s="239"/>
      <c r="K81" s="239"/>
      <c r="L81" s="239"/>
      <c r="M81" s="32"/>
    </row>
    <row r="82" spans="1:13" ht="15">
      <c r="A82" s="232" t="s">
        <v>237</v>
      </c>
      <c r="B82" s="241"/>
      <c r="C82" s="241">
        <v>40000</v>
      </c>
      <c r="D82" s="241">
        <v>40000</v>
      </c>
      <c r="E82" s="241">
        <v>40000</v>
      </c>
      <c r="F82" s="241">
        <v>40000</v>
      </c>
      <c r="G82" s="241">
        <v>40000</v>
      </c>
      <c r="H82" s="241"/>
      <c r="I82" s="241"/>
      <c r="J82" s="241"/>
      <c r="K82" s="239"/>
      <c r="L82" s="239"/>
      <c r="M82" s="32">
        <f>SUM(B82:L82)</f>
        <v>200000</v>
      </c>
    </row>
    <row r="83" spans="1:13" ht="15">
      <c r="A83" s="232" t="s">
        <v>278</v>
      </c>
      <c r="B83" s="241"/>
      <c r="C83" s="241"/>
      <c r="D83" s="241">
        <v>40000</v>
      </c>
      <c r="E83" s="241">
        <v>40000</v>
      </c>
      <c r="F83" s="241">
        <v>40000</v>
      </c>
      <c r="G83" s="241">
        <v>40000</v>
      </c>
      <c r="H83" s="241">
        <v>40000</v>
      </c>
      <c r="I83" s="241"/>
      <c r="J83" s="241"/>
      <c r="K83" s="239"/>
      <c r="L83" s="239"/>
      <c r="M83" s="32">
        <f>SUM(B83:L83)</f>
        <v>200000</v>
      </c>
    </row>
    <row r="84" spans="1:13" ht="15">
      <c r="A84" s="232" t="s">
        <v>236</v>
      </c>
      <c r="B84" s="241"/>
      <c r="C84" s="241"/>
      <c r="D84" s="241"/>
      <c r="E84" s="241">
        <v>40000</v>
      </c>
      <c r="F84" s="241">
        <v>40000</v>
      </c>
      <c r="G84" s="241">
        <v>40000</v>
      </c>
      <c r="H84" s="241">
        <v>40000</v>
      </c>
      <c r="I84" s="241">
        <v>40000</v>
      </c>
      <c r="J84" s="241"/>
      <c r="K84" s="239"/>
      <c r="L84" s="239"/>
      <c r="M84" s="32">
        <f>SUM(B84:L84)</f>
        <v>200000</v>
      </c>
    </row>
    <row r="85" spans="1:13" ht="15">
      <c r="A85" s="232" t="s">
        <v>270</v>
      </c>
      <c r="B85" s="241"/>
      <c r="C85" s="241"/>
      <c r="D85" s="241"/>
      <c r="E85" s="241"/>
      <c r="F85" s="241">
        <v>40000</v>
      </c>
      <c r="G85" s="241">
        <v>40000</v>
      </c>
      <c r="H85" s="241">
        <v>40000</v>
      </c>
      <c r="I85" s="241">
        <v>40000</v>
      </c>
      <c r="J85" s="241">
        <v>40000</v>
      </c>
      <c r="K85" s="239"/>
      <c r="L85" s="239"/>
      <c r="M85" s="32">
        <f>SUM(B85:L85)</f>
        <v>200000</v>
      </c>
    </row>
    <row r="86" spans="1:13" ht="15">
      <c r="A86" s="232" t="s">
        <v>272</v>
      </c>
      <c r="B86" s="241"/>
      <c r="C86" s="241"/>
      <c r="D86" s="241"/>
      <c r="E86" s="241"/>
      <c r="F86" s="241"/>
      <c r="G86" s="241">
        <v>40000</v>
      </c>
      <c r="H86" s="241">
        <v>40000</v>
      </c>
      <c r="I86" s="241">
        <v>40000</v>
      </c>
      <c r="J86" s="241">
        <v>40000</v>
      </c>
      <c r="K86" s="241">
        <v>40000</v>
      </c>
      <c r="L86" s="239"/>
      <c r="M86" s="32">
        <f>SUM(B86:L86)</f>
        <v>200000</v>
      </c>
    </row>
    <row r="87" spans="1:13" ht="15">
      <c r="A87" s="232"/>
      <c r="B87" s="241"/>
      <c r="C87" s="241"/>
      <c r="D87" s="241"/>
      <c r="E87" s="241"/>
      <c r="F87" s="241"/>
      <c r="G87" s="241"/>
      <c r="H87" s="241"/>
      <c r="I87" s="241"/>
      <c r="J87" s="241"/>
      <c r="K87" s="241"/>
      <c r="L87" s="240"/>
      <c r="M87" s="32"/>
    </row>
    <row r="88" spans="1:13" ht="15">
      <c r="A88" s="233" t="s">
        <v>265</v>
      </c>
      <c r="B88" s="154">
        <f aca="true" t="shared" si="9" ref="B88:K88">SUM(B82:B87)</f>
        <v>0</v>
      </c>
      <c r="C88" s="154">
        <f t="shared" si="9"/>
        <v>40000</v>
      </c>
      <c r="D88" s="154">
        <f t="shared" si="9"/>
        <v>80000</v>
      </c>
      <c r="E88" s="154">
        <f t="shared" si="9"/>
        <v>120000</v>
      </c>
      <c r="F88" s="154">
        <f t="shared" si="9"/>
        <v>160000</v>
      </c>
      <c r="G88" s="154">
        <f t="shared" si="9"/>
        <v>200000</v>
      </c>
      <c r="H88" s="154">
        <f t="shared" si="9"/>
        <v>160000</v>
      </c>
      <c r="I88" s="154">
        <f t="shared" si="9"/>
        <v>120000</v>
      </c>
      <c r="J88" s="154">
        <f t="shared" si="9"/>
        <v>80000</v>
      </c>
      <c r="K88" s="154">
        <f t="shared" si="9"/>
        <v>40000</v>
      </c>
      <c r="L88" s="163"/>
      <c r="M88" s="32">
        <f>SUM(M82:M86)</f>
        <v>1000000</v>
      </c>
    </row>
    <row r="89" spans="1:13" ht="15.75" thickBot="1">
      <c r="A89" s="234" t="s">
        <v>249</v>
      </c>
      <c r="B89" s="155">
        <f>B88</f>
        <v>0</v>
      </c>
      <c r="C89" s="155">
        <f>B88+C88</f>
        <v>40000</v>
      </c>
      <c r="D89" s="155">
        <f>B88+C88+D88</f>
        <v>120000</v>
      </c>
      <c r="E89" s="155">
        <f>SUM(B88:E88)</f>
        <v>240000</v>
      </c>
      <c r="F89" s="155">
        <f>SUM(B88:F88)</f>
        <v>400000</v>
      </c>
      <c r="G89" s="155">
        <f>SUM(B88:G88)</f>
        <v>600000</v>
      </c>
      <c r="H89" s="155">
        <f>SUM(B88:H88)</f>
        <v>760000</v>
      </c>
      <c r="I89" s="155">
        <f>SUM(B88:I88)</f>
        <v>880000</v>
      </c>
      <c r="J89" s="155">
        <f>SUM(B88:J88)</f>
        <v>960000</v>
      </c>
      <c r="K89" s="155">
        <f>SUM(B88:K88)</f>
        <v>1000000</v>
      </c>
      <c r="L89" s="164"/>
      <c r="M89" s="168">
        <f>SUM(C88:K88)</f>
        <v>1000000</v>
      </c>
    </row>
    <row r="90" spans="1:13" ht="16.5" thickBot="1" thickTop="1">
      <c r="A90" s="232"/>
      <c r="B90" s="102"/>
      <c r="C90" s="102"/>
      <c r="D90" s="102"/>
      <c r="E90" s="102"/>
      <c r="F90" s="102"/>
      <c r="G90" s="102"/>
      <c r="H90" s="102"/>
      <c r="I90" s="102"/>
      <c r="J90" s="102"/>
      <c r="K90" s="102"/>
      <c r="L90" s="102"/>
      <c r="M90" s="161"/>
    </row>
    <row r="91" spans="1:13" ht="15.75" thickBot="1">
      <c r="A91" s="235" t="s">
        <v>274</v>
      </c>
      <c r="B91" s="156">
        <f aca="true" t="shared" si="10" ref="B91:K91">B79+B88</f>
        <v>0</v>
      </c>
      <c r="C91" s="156">
        <f t="shared" si="10"/>
        <v>-160000</v>
      </c>
      <c r="D91" s="156">
        <f t="shared" si="10"/>
        <v>-120000</v>
      </c>
      <c r="E91" s="156">
        <f t="shared" si="10"/>
        <v>-80000</v>
      </c>
      <c r="F91" s="156">
        <f t="shared" si="10"/>
        <v>-40000</v>
      </c>
      <c r="G91" s="156">
        <f t="shared" si="10"/>
        <v>0</v>
      </c>
      <c r="H91" s="156">
        <f t="shared" si="10"/>
        <v>160000</v>
      </c>
      <c r="I91" s="156">
        <f t="shared" si="10"/>
        <v>120000</v>
      </c>
      <c r="J91" s="156">
        <f t="shared" si="10"/>
        <v>80000</v>
      </c>
      <c r="K91" s="157">
        <f t="shared" si="10"/>
        <v>40000</v>
      </c>
      <c r="L91" s="165"/>
      <c r="M91" s="167">
        <f>SUM(B91:L91)</f>
        <v>0</v>
      </c>
    </row>
    <row r="94" spans="2:7" ht="15">
      <c r="B94" s="248" t="s">
        <v>288</v>
      </c>
      <c r="C94" s="248"/>
      <c r="D94" s="248"/>
      <c r="E94" s="248"/>
      <c r="F94" s="248"/>
      <c r="G94" s="248"/>
    </row>
  </sheetData>
  <sheetProtection password="DC55" sheet="1" objects="1" scenarios="1" formatCells="0" formatColumns="0" formatRows="0" insertColumns="0" insertRows="0" insertHyperlinks="0" deleteColumns="0" deleteRows="0" selectLockedCells="1" sort="0"/>
  <mergeCells count="2">
    <mergeCell ref="A1:L1"/>
    <mergeCell ref="B94:G94"/>
  </mergeCells>
  <printOptions/>
  <pageMargins left="0.75" right="0.75" top="1" bottom="1" header="0.5" footer="0.5"/>
  <pageSetup fitToHeight="1" fitToWidth="1" horizontalDpi="600" verticalDpi="600" orientation="portrait" scale="46" r:id="rId1"/>
  <headerFooter alignWithMargins="0">
    <oddHeader>&amp;C&amp;"-,Bold"&amp;36&amp;UProject Victories Project Selection Tool</oddHeader>
    <oddFooter>&amp;CCopyright The Volpe Consortium, Inc.</oddFooter>
  </headerFooter>
  <ignoredErrors>
    <ignoredError sqref="B18:G18 C52:E52 G52" formulaRange="1"/>
    <ignoredError sqref="F52" formula="1" formulaRange="1"/>
  </ignoredErrors>
</worksheet>
</file>

<file path=xl/worksheets/sheet33.xml><?xml version="1.0" encoding="utf-8"?>
<worksheet xmlns="http://schemas.openxmlformats.org/spreadsheetml/2006/main" xmlns:r="http://schemas.openxmlformats.org/officeDocument/2006/relationships">
  <dimension ref="A1:G43"/>
  <sheetViews>
    <sheetView zoomScalePageLayoutView="0" workbookViewId="0" topLeftCell="A19">
      <selection activeCell="E39" sqref="E39"/>
    </sheetView>
  </sheetViews>
  <sheetFormatPr defaultColWidth="9.140625" defaultRowHeight="15"/>
  <cols>
    <col min="1" max="1" width="24.8515625" style="0" customWidth="1"/>
    <col min="2" max="2" width="13.421875" style="0" customWidth="1"/>
    <col min="3" max="3" width="11.421875" style="0" customWidth="1"/>
    <col min="4" max="4" width="17.57421875" style="0" customWidth="1"/>
    <col min="5" max="5" width="11.140625" style="0" bestFit="1" customWidth="1"/>
  </cols>
  <sheetData>
    <row r="1" spans="1:5" ht="15">
      <c r="A1" s="6" t="s">
        <v>6</v>
      </c>
      <c r="B1" s="14" t="s">
        <v>9</v>
      </c>
      <c r="C1" s="14" t="s">
        <v>12</v>
      </c>
      <c r="D1" s="14" t="s">
        <v>10</v>
      </c>
      <c r="E1" s="20" t="s">
        <v>53</v>
      </c>
    </row>
    <row r="2" spans="1:7" ht="15">
      <c r="A2" s="5" t="s">
        <v>38</v>
      </c>
      <c r="B2" s="7">
        <v>20000</v>
      </c>
      <c r="C2" s="9">
        <v>3</v>
      </c>
      <c r="D2" s="8">
        <f>B2*C2</f>
        <v>60000</v>
      </c>
      <c r="E2" s="17">
        <f>D2/12</f>
        <v>5000</v>
      </c>
      <c r="G2">
        <f>(300/7*8)/12</f>
        <v>28.57142857142857</v>
      </c>
    </row>
    <row r="3" spans="1:5" ht="15">
      <c r="A3" s="5" t="s">
        <v>39</v>
      </c>
      <c r="B3" s="7">
        <v>500000</v>
      </c>
      <c r="C3" s="9">
        <v>1</v>
      </c>
      <c r="D3" s="8">
        <f aca="true" t="shared" si="0" ref="D3:D28">B3*C3</f>
        <v>500000</v>
      </c>
      <c r="E3" s="17">
        <f aca="true" t="shared" si="1" ref="E3:E29">D3/12</f>
        <v>41666.666666666664</v>
      </c>
    </row>
    <row r="4" spans="1:5" ht="15">
      <c r="A4" s="5" t="s">
        <v>47</v>
      </c>
      <c r="B4" s="7">
        <v>500000</v>
      </c>
      <c r="C4" s="9">
        <v>1</v>
      </c>
      <c r="D4" s="8">
        <f t="shared" si="0"/>
        <v>500000</v>
      </c>
      <c r="E4" s="17">
        <f t="shared" si="1"/>
        <v>41666.666666666664</v>
      </c>
    </row>
    <row r="5" spans="1:5" ht="15">
      <c r="A5" s="5" t="s">
        <v>44</v>
      </c>
      <c r="B5" s="7">
        <v>20000</v>
      </c>
      <c r="C5" s="9">
        <v>1</v>
      </c>
      <c r="D5" s="8">
        <f>B5*C5</f>
        <v>20000</v>
      </c>
      <c r="E5" s="17">
        <f t="shared" si="1"/>
        <v>1666.6666666666667</v>
      </c>
    </row>
    <row r="6" spans="1:5" ht="15">
      <c r="A6" s="5" t="s">
        <v>40</v>
      </c>
      <c r="B6" s="7">
        <v>13</v>
      </c>
      <c r="C6" s="9">
        <v>2080</v>
      </c>
      <c r="D6" s="8">
        <f t="shared" si="0"/>
        <v>27040</v>
      </c>
      <c r="E6" s="17">
        <f t="shared" si="1"/>
        <v>2253.3333333333335</v>
      </c>
    </row>
    <row r="7" spans="1:5" ht="15">
      <c r="A7" s="5" t="s">
        <v>41</v>
      </c>
      <c r="B7" s="7">
        <v>13</v>
      </c>
      <c r="C7" s="9">
        <v>2080</v>
      </c>
      <c r="D7" s="8">
        <f t="shared" si="0"/>
        <v>27040</v>
      </c>
      <c r="E7" s="17">
        <f t="shared" si="1"/>
        <v>2253.3333333333335</v>
      </c>
    </row>
    <row r="8" spans="1:5" ht="15">
      <c r="A8" s="5" t="s">
        <v>42</v>
      </c>
      <c r="B8" s="7">
        <v>13</v>
      </c>
      <c r="C8" s="9">
        <v>2080</v>
      </c>
      <c r="D8" s="8">
        <f t="shared" si="0"/>
        <v>27040</v>
      </c>
      <c r="E8" s="17">
        <f t="shared" si="1"/>
        <v>2253.3333333333335</v>
      </c>
    </row>
    <row r="9" spans="1:5" ht="15">
      <c r="A9" s="5" t="s">
        <v>60</v>
      </c>
      <c r="B9" s="7">
        <v>13</v>
      </c>
      <c r="C9" s="9">
        <v>2080</v>
      </c>
      <c r="D9" s="8">
        <f>B9*C9</f>
        <v>27040</v>
      </c>
      <c r="E9" s="17">
        <f>D9/12</f>
        <v>2253.3333333333335</v>
      </c>
    </row>
    <row r="10" spans="1:5" ht="15">
      <c r="A10" s="5" t="s">
        <v>65</v>
      </c>
      <c r="B10" s="7">
        <v>65000</v>
      </c>
      <c r="C10" s="9">
        <v>1</v>
      </c>
      <c r="D10" s="8">
        <f t="shared" si="0"/>
        <v>65000</v>
      </c>
      <c r="E10" s="17">
        <f t="shared" si="1"/>
        <v>5416.666666666667</v>
      </c>
    </row>
    <row r="11" spans="1:5" ht="15">
      <c r="A11" s="5" t="s">
        <v>97</v>
      </c>
      <c r="B11" s="7">
        <v>45500</v>
      </c>
      <c r="C11" s="9">
        <v>1</v>
      </c>
      <c r="D11" s="8">
        <f>B11*C11</f>
        <v>45500</v>
      </c>
      <c r="E11" s="17">
        <f>D11/12</f>
        <v>3791.6666666666665</v>
      </c>
    </row>
    <row r="12" spans="1:5" ht="15">
      <c r="A12" s="5" t="s">
        <v>66</v>
      </c>
      <c r="B12" s="7">
        <v>132000</v>
      </c>
      <c r="C12" s="9">
        <v>1</v>
      </c>
      <c r="D12" s="8">
        <f>B12*C12</f>
        <v>132000</v>
      </c>
      <c r="E12" s="17">
        <f t="shared" si="1"/>
        <v>11000</v>
      </c>
    </row>
    <row r="13" spans="1:5" ht="15">
      <c r="A13" s="5" t="s">
        <v>67</v>
      </c>
      <c r="B13" s="7">
        <v>132000</v>
      </c>
      <c r="C13" s="9">
        <v>1</v>
      </c>
      <c r="D13" s="8">
        <f>B13*C13</f>
        <v>132000</v>
      </c>
      <c r="E13" s="17">
        <f t="shared" si="1"/>
        <v>11000</v>
      </c>
    </row>
    <row r="14" spans="1:5" ht="15">
      <c r="A14" s="5" t="s">
        <v>43</v>
      </c>
      <c r="B14" s="7">
        <v>120000</v>
      </c>
      <c r="C14" s="9">
        <v>1</v>
      </c>
      <c r="D14" s="8">
        <f t="shared" si="0"/>
        <v>120000</v>
      </c>
      <c r="E14" s="17">
        <f t="shared" si="1"/>
        <v>10000</v>
      </c>
    </row>
    <row r="15" spans="1:5" ht="15">
      <c r="A15" s="5" t="s">
        <v>52</v>
      </c>
      <c r="B15" s="7">
        <v>240000</v>
      </c>
      <c r="C15" s="9">
        <v>1</v>
      </c>
      <c r="D15" s="8">
        <f t="shared" si="0"/>
        <v>240000</v>
      </c>
      <c r="E15" s="17">
        <f t="shared" si="1"/>
        <v>20000</v>
      </c>
    </row>
    <row r="16" spans="1:5" ht="15">
      <c r="A16" s="5" t="s">
        <v>45</v>
      </c>
      <c r="B16" s="7">
        <v>6000</v>
      </c>
      <c r="C16" s="9">
        <v>12</v>
      </c>
      <c r="D16" s="8">
        <f t="shared" si="0"/>
        <v>72000</v>
      </c>
      <c r="E16" s="17">
        <f t="shared" si="1"/>
        <v>6000</v>
      </c>
    </row>
    <row r="17" spans="1:5" ht="15">
      <c r="A17" s="5" t="s">
        <v>46</v>
      </c>
      <c r="B17" s="7">
        <v>4000</v>
      </c>
      <c r="C17" s="9">
        <v>12</v>
      </c>
      <c r="D17" s="8">
        <f t="shared" si="0"/>
        <v>48000</v>
      </c>
      <c r="E17" s="17">
        <f t="shared" si="1"/>
        <v>4000</v>
      </c>
    </row>
    <row r="18" spans="1:5" ht="15">
      <c r="A18" s="5" t="s">
        <v>48</v>
      </c>
      <c r="B18" s="7">
        <v>300000</v>
      </c>
      <c r="C18" s="9">
        <v>1</v>
      </c>
      <c r="D18" s="8">
        <f t="shared" si="0"/>
        <v>300000</v>
      </c>
      <c r="E18" s="17">
        <f t="shared" si="1"/>
        <v>25000</v>
      </c>
    </row>
    <row r="19" spans="1:5" ht="15">
      <c r="A19" s="5" t="s">
        <v>49</v>
      </c>
      <c r="B19" s="7">
        <v>1500</v>
      </c>
      <c r="C19" s="9">
        <v>12</v>
      </c>
      <c r="D19" s="8">
        <f t="shared" si="0"/>
        <v>18000</v>
      </c>
      <c r="E19" s="17">
        <f t="shared" si="1"/>
        <v>1500</v>
      </c>
    </row>
    <row r="20" spans="1:5" ht="15">
      <c r="A20" s="5" t="s">
        <v>50</v>
      </c>
      <c r="B20" s="7">
        <v>1000</v>
      </c>
      <c r="C20" s="9">
        <v>12</v>
      </c>
      <c r="D20" s="8">
        <f t="shared" si="0"/>
        <v>12000</v>
      </c>
      <c r="E20" s="17">
        <f t="shared" si="1"/>
        <v>1000</v>
      </c>
    </row>
    <row r="21" spans="1:5" ht="15">
      <c r="A21" s="5" t="s">
        <v>51</v>
      </c>
      <c r="B21" s="7">
        <v>60000</v>
      </c>
      <c r="C21" s="9">
        <v>12</v>
      </c>
      <c r="D21" s="8">
        <f t="shared" si="0"/>
        <v>720000</v>
      </c>
      <c r="E21" s="17">
        <f t="shared" si="1"/>
        <v>60000</v>
      </c>
    </row>
    <row r="22" spans="1:5" ht="15">
      <c r="A22" s="5" t="s">
        <v>61</v>
      </c>
      <c r="B22" s="7">
        <v>2500</v>
      </c>
      <c r="C22" s="9">
        <v>12</v>
      </c>
      <c r="D22" s="8">
        <f t="shared" si="0"/>
        <v>30000</v>
      </c>
      <c r="E22" s="17">
        <f t="shared" si="1"/>
        <v>2500</v>
      </c>
    </row>
    <row r="23" spans="1:5" ht="15">
      <c r="A23" s="5"/>
      <c r="B23" s="7"/>
      <c r="C23" s="9"/>
      <c r="D23" s="8">
        <f t="shared" si="0"/>
        <v>0</v>
      </c>
      <c r="E23" s="17">
        <f t="shared" si="1"/>
        <v>0</v>
      </c>
    </row>
    <row r="24" spans="1:5" ht="15">
      <c r="A24" s="5"/>
      <c r="B24" s="7"/>
      <c r="C24" s="9"/>
      <c r="D24" s="8">
        <f t="shared" si="0"/>
        <v>0</v>
      </c>
      <c r="E24" s="17">
        <f t="shared" si="1"/>
        <v>0</v>
      </c>
    </row>
    <row r="25" spans="1:5" ht="15">
      <c r="A25" s="5"/>
      <c r="B25" s="7"/>
      <c r="C25" s="9"/>
      <c r="D25" s="8">
        <f t="shared" si="0"/>
        <v>0</v>
      </c>
      <c r="E25" s="17">
        <f t="shared" si="1"/>
        <v>0</v>
      </c>
    </row>
    <row r="26" spans="1:5" ht="15">
      <c r="A26" s="5"/>
      <c r="B26" s="7"/>
      <c r="C26" s="9"/>
      <c r="D26" s="8">
        <f t="shared" si="0"/>
        <v>0</v>
      </c>
      <c r="E26" s="17">
        <f t="shared" si="1"/>
        <v>0</v>
      </c>
    </row>
    <row r="27" spans="1:5" ht="15">
      <c r="A27" s="5"/>
      <c r="B27" s="7"/>
      <c r="C27" s="9"/>
      <c r="D27" s="8">
        <f t="shared" si="0"/>
        <v>0</v>
      </c>
      <c r="E27" s="17">
        <f t="shared" si="1"/>
        <v>0</v>
      </c>
    </row>
    <row r="28" spans="1:5" ht="15">
      <c r="A28" s="5"/>
      <c r="B28" s="7"/>
      <c r="C28" s="9"/>
      <c r="D28" s="8">
        <f t="shared" si="0"/>
        <v>0</v>
      </c>
      <c r="E28" s="17">
        <f t="shared" si="1"/>
        <v>0</v>
      </c>
    </row>
    <row r="29" spans="1:5" ht="15">
      <c r="A29" s="5" t="s">
        <v>14</v>
      </c>
      <c r="B29" s="7"/>
      <c r="C29" s="9"/>
      <c r="D29" s="8">
        <f>SUM(D2:D28)</f>
        <v>3122660</v>
      </c>
      <c r="E29" s="17">
        <f t="shared" si="1"/>
        <v>260221.66666666666</v>
      </c>
    </row>
    <row r="32" spans="1:2" ht="15">
      <c r="A32" t="s">
        <v>183</v>
      </c>
      <c r="B32" s="1">
        <v>5000</v>
      </c>
    </row>
    <row r="33" ht="15.75" thickBot="1">
      <c r="B33" s="1"/>
    </row>
    <row r="34" spans="1:2" ht="15.75" thickBot="1">
      <c r="A34" s="100" t="s">
        <v>48</v>
      </c>
      <c r="B34" s="99"/>
    </row>
    <row r="35" spans="1:2" ht="15">
      <c r="A35" s="42" t="s">
        <v>176</v>
      </c>
      <c r="B35" s="58">
        <v>300</v>
      </c>
    </row>
    <row r="36" spans="1:2" ht="15">
      <c r="A36" s="39" t="s">
        <v>184</v>
      </c>
      <c r="B36" s="58">
        <v>250</v>
      </c>
    </row>
    <row r="37" spans="1:2" ht="15">
      <c r="A37" s="39" t="s">
        <v>179</v>
      </c>
      <c r="B37" s="58">
        <v>2500</v>
      </c>
    </row>
    <row r="38" spans="1:2" ht="15">
      <c r="A38" s="39" t="s">
        <v>177</v>
      </c>
      <c r="B38" s="58">
        <v>300</v>
      </c>
    </row>
    <row r="39" spans="1:2" ht="15">
      <c r="A39" s="39" t="s">
        <v>178</v>
      </c>
      <c r="B39" s="58">
        <v>150</v>
      </c>
    </row>
    <row r="40" spans="1:2" ht="15">
      <c r="A40" s="39" t="s">
        <v>180</v>
      </c>
      <c r="B40" s="58">
        <v>500</v>
      </c>
    </row>
    <row r="41" spans="1:2" ht="15">
      <c r="A41" s="39" t="s">
        <v>182</v>
      </c>
      <c r="B41" s="58">
        <v>500</v>
      </c>
    </row>
    <row r="42" spans="1:2" ht="15">
      <c r="A42" s="39" t="s">
        <v>181</v>
      </c>
      <c r="B42" s="58">
        <v>500</v>
      </c>
    </row>
    <row r="43" spans="1:2" ht="15.75" thickBot="1">
      <c r="A43" s="40"/>
      <c r="B43" s="41">
        <f>SUM(B35:B42)</f>
        <v>5000</v>
      </c>
    </row>
  </sheetData>
  <sheetProtection/>
  <printOption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P37"/>
  <sheetViews>
    <sheetView zoomScale="70" zoomScaleNormal="70" zoomScalePageLayoutView="0" workbookViewId="0" topLeftCell="A1">
      <selection activeCell="F24" sqref="F24"/>
    </sheetView>
  </sheetViews>
  <sheetFormatPr defaultColWidth="9.140625" defaultRowHeight="15"/>
  <cols>
    <col min="1" max="1" width="22.140625" style="0" customWidth="1"/>
    <col min="2" max="2" width="15.00390625" style="0" customWidth="1"/>
    <col min="4" max="4" width="16.7109375" style="0" customWidth="1"/>
    <col min="5" max="6" width="15.28125" style="0" bestFit="1" customWidth="1"/>
    <col min="8" max="8" width="15.140625" style="0" customWidth="1"/>
    <col min="11" max="11" width="23.57421875" style="0" customWidth="1"/>
    <col min="12" max="12" width="43.140625" style="0" customWidth="1"/>
  </cols>
  <sheetData>
    <row r="1" spans="1:15" ht="24" thickBot="1">
      <c r="A1" s="59" t="s">
        <v>20</v>
      </c>
      <c r="B1" s="60" t="s">
        <v>21</v>
      </c>
      <c r="K1" s="271" t="s">
        <v>113</v>
      </c>
      <c r="L1" s="272"/>
      <c r="M1" s="272"/>
      <c r="N1" s="272"/>
      <c r="O1" s="273"/>
    </row>
    <row r="2" spans="1:15" ht="30">
      <c r="A2" s="71">
        <v>7</v>
      </c>
      <c r="B2" s="72">
        <f>A2/3.5</f>
        <v>2</v>
      </c>
      <c r="D2" s="57"/>
      <c r="E2" s="27" t="s">
        <v>5</v>
      </c>
      <c r="K2" s="85" t="s">
        <v>114</v>
      </c>
      <c r="L2" s="85" t="s">
        <v>115</v>
      </c>
      <c r="M2" s="85" t="s">
        <v>116</v>
      </c>
      <c r="N2" s="85" t="s">
        <v>117</v>
      </c>
      <c r="O2" s="85" t="s">
        <v>118</v>
      </c>
    </row>
    <row r="3" spans="1:15" ht="15">
      <c r="A3" s="69" t="s">
        <v>2</v>
      </c>
      <c r="B3" s="70" t="s">
        <v>3</v>
      </c>
      <c r="D3" s="39"/>
      <c r="E3" s="26" t="s">
        <v>88</v>
      </c>
      <c r="H3" t="s">
        <v>7</v>
      </c>
      <c r="K3" s="87" t="s">
        <v>119</v>
      </c>
      <c r="L3" s="86" t="s">
        <v>120</v>
      </c>
      <c r="M3" s="88">
        <v>600</v>
      </c>
      <c r="N3" s="88">
        <v>3</v>
      </c>
      <c r="O3" s="89">
        <v>2490</v>
      </c>
    </row>
    <row r="4" spans="1:15" ht="30">
      <c r="A4" s="39" t="s">
        <v>0</v>
      </c>
      <c r="B4" s="61">
        <v>72</v>
      </c>
      <c r="D4" s="39" t="s">
        <v>87</v>
      </c>
      <c r="E4" s="78">
        <f>B9</f>
        <v>4.128719276285844</v>
      </c>
      <c r="H4" t="s">
        <v>93</v>
      </c>
      <c r="I4">
        <v>5000</v>
      </c>
      <c r="K4" s="87" t="s">
        <v>121</v>
      </c>
      <c r="L4" s="86" t="s">
        <v>122</v>
      </c>
      <c r="M4" s="88">
        <v>600</v>
      </c>
      <c r="N4" s="88">
        <v>3</v>
      </c>
      <c r="O4" s="89">
        <v>3940</v>
      </c>
    </row>
    <row r="5" spans="1:15" ht="30.75" thickBot="1">
      <c r="A5" s="40" t="s">
        <v>4</v>
      </c>
      <c r="B5" s="62">
        <v>10</v>
      </c>
      <c r="D5" s="39" t="s">
        <v>1</v>
      </c>
      <c r="E5" s="78">
        <v>4</v>
      </c>
      <c r="H5" t="s">
        <v>8</v>
      </c>
      <c r="I5">
        <v>20000</v>
      </c>
      <c r="K5" s="87" t="s">
        <v>123</v>
      </c>
      <c r="L5" s="86" t="s">
        <v>124</v>
      </c>
      <c r="M5" s="88">
        <v>600</v>
      </c>
      <c r="N5" s="88">
        <v>3</v>
      </c>
      <c r="O5" s="89">
        <v>9260</v>
      </c>
    </row>
    <row r="6" spans="2:15" ht="15.75" thickBot="1">
      <c r="B6" s="29"/>
      <c r="D6" s="39" t="s">
        <v>30</v>
      </c>
      <c r="E6" s="79">
        <f>B10/12</f>
        <v>0.35833333333333334</v>
      </c>
      <c r="I6">
        <f>SUM(I4:I5)</f>
        <v>25000</v>
      </c>
      <c r="K6" s="274" t="s">
        <v>125</v>
      </c>
      <c r="L6" s="276" t="s">
        <v>126</v>
      </c>
      <c r="M6" s="90" t="s">
        <v>127</v>
      </c>
      <c r="N6" s="278">
        <v>3</v>
      </c>
      <c r="O6" s="280">
        <v>14570</v>
      </c>
    </row>
    <row r="7" spans="1:15" ht="15">
      <c r="A7" s="59" t="s">
        <v>2</v>
      </c>
      <c r="B7" s="64" t="s">
        <v>15</v>
      </c>
      <c r="D7" s="39" t="s">
        <v>95</v>
      </c>
      <c r="E7" s="78">
        <v>0.35</v>
      </c>
      <c r="K7" s="275"/>
      <c r="L7" s="277"/>
      <c r="M7" s="91" t="s">
        <v>128</v>
      </c>
      <c r="N7" s="279"/>
      <c r="O7" s="281"/>
    </row>
    <row r="8" spans="1:15" ht="15">
      <c r="A8" s="39" t="s">
        <v>28</v>
      </c>
      <c r="B8" s="58">
        <f>'Cost Per Batch'!D11</f>
        <v>33.029754210286754</v>
      </c>
      <c r="D8" s="39" t="s">
        <v>37</v>
      </c>
      <c r="E8" s="78">
        <v>0.75</v>
      </c>
      <c r="K8" s="87" t="s">
        <v>129</v>
      </c>
      <c r="L8" s="86" t="s">
        <v>130</v>
      </c>
      <c r="M8" s="88">
        <v>1000</v>
      </c>
      <c r="N8" s="88">
        <v>3</v>
      </c>
      <c r="O8" s="89">
        <v>7940</v>
      </c>
    </row>
    <row r="9" spans="1:15" ht="30">
      <c r="A9" s="39" t="s">
        <v>26</v>
      </c>
      <c r="B9" s="66">
        <f>B8/8</f>
        <v>4.128719276285844</v>
      </c>
      <c r="D9" s="39" t="s">
        <v>91</v>
      </c>
      <c r="E9" s="78">
        <f>SUM(E4:E8)</f>
        <v>9.587052609619176</v>
      </c>
      <c r="K9" s="87" t="s">
        <v>131</v>
      </c>
      <c r="L9" s="86" t="s">
        <v>132</v>
      </c>
      <c r="M9" s="88">
        <v>1000</v>
      </c>
      <c r="N9" s="88">
        <v>3</v>
      </c>
      <c r="O9" s="89">
        <v>10870</v>
      </c>
    </row>
    <row r="10" spans="1:15" ht="30.75" thickBot="1">
      <c r="A10" s="117" t="s">
        <v>29</v>
      </c>
      <c r="B10" s="118">
        <v>4.3</v>
      </c>
      <c r="D10" s="80" t="s">
        <v>193</v>
      </c>
      <c r="E10" s="81">
        <f>E9*0.2</f>
        <v>1.9174105219238353</v>
      </c>
      <c r="K10" s="87" t="s">
        <v>133</v>
      </c>
      <c r="L10" s="86" t="s">
        <v>134</v>
      </c>
      <c r="M10" s="88">
        <v>1000</v>
      </c>
      <c r="N10" s="88">
        <v>3</v>
      </c>
      <c r="O10" s="89">
        <v>15390</v>
      </c>
    </row>
    <row r="11" spans="1:15" ht="31.5" thickBot="1" thickTop="1">
      <c r="A11" s="39" t="s">
        <v>95</v>
      </c>
      <c r="B11" s="58">
        <v>0.35</v>
      </c>
      <c r="D11" s="82" t="s">
        <v>92</v>
      </c>
      <c r="E11" s="83">
        <f>SUM(E9:E10)</f>
        <v>11.504463131543012</v>
      </c>
      <c r="F11" t="s">
        <v>31</v>
      </c>
      <c r="G11" s="2">
        <f>E12-E11</f>
        <v>4.995536868456988</v>
      </c>
      <c r="H11" s="19">
        <f>G11/E11</f>
        <v>0.43422598789162026</v>
      </c>
      <c r="K11" s="87" t="s">
        <v>135</v>
      </c>
      <c r="L11" s="86" t="s">
        <v>136</v>
      </c>
      <c r="M11" s="88">
        <v>1200</v>
      </c>
      <c r="N11" s="88">
        <v>3</v>
      </c>
      <c r="O11" s="89">
        <v>31430</v>
      </c>
    </row>
    <row r="12" spans="1:15" ht="30.75" thickBot="1">
      <c r="A12" s="119" t="s">
        <v>37</v>
      </c>
      <c r="B12" s="120">
        <v>0.75</v>
      </c>
      <c r="D12" t="s">
        <v>89</v>
      </c>
      <c r="E12" s="2">
        <v>16.5</v>
      </c>
      <c r="F12" t="s">
        <v>31</v>
      </c>
      <c r="G12" s="2">
        <f>E13-E12</f>
        <v>4.949999999999999</v>
      </c>
      <c r="H12" s="19">
        <f>G12/E12</f>
        <v>0.29999999999999993</v>
      </c>
      <c r="K12" s="87" t="s">
        <v>137</v>
      </c>
      <c r="L12" s="86" t="s">
        <v>138</v>
      </c>
      <c r="M12" s="88">
        <v>1200</v>
      </c>
      <c r="N12" s="88">
        <v>3</v>
      </c>
      <c r="O12" s="89">
        <v>44690</v>
      </c>
    </row>
    <row r="13" spans="4:15" ht="30">
      <c r="D13" t="s">
        <v>90</v>
      </c>
      <c r="E13" s="2">
        <f>E12*1.3</f>
        <v>21.45</v>
      </c>
      <c r="F13" t="s">
        <v>31</v>
      </c>
      <c r="G13" s="2">
        <f>E14-E13</f>
        <v>6.435000000000002</v>
      </c>
      <c r="H13" s="19">
        <f>G13/E13</f>
        <v>0.3000000000000001</v>
      </c>
      <c r="K13" s="87" t="s">
        <v>139</v>
      </c>
      <c r="L13" s="86" t="s">
        <v>140</v>
      </c>
      <c r="M13" s="88">
        <v>1200</v>
      </c>
      <c r="N13" s="88">
        <v>3</v>
      </c>
      <c r="O13" s="89">
        <v>44230</v>
      </c>
    </row>
    <row r="14" spans="1:15" ht="30">
      <c r="A14" s="18"/>
      <c r="B14" s="18"/>
      <c r="D14" t="s">
        <v>32</v>
      </c>
      <c r="E14" s="4">
        <f>E13*1.3</f>
        <v>27.885</v>
      </c>
      <c r="K14" s="92" t="s">
        <v>141</v>
      </c>
      <c r="L14" s="86" t="s">
        <v>142</v>
      </c>
      <c r="M14" s="88">
        <v>1200</v>
      </c>
      <c r="N14" s="88">
        <v>3</v>
      </c>
      <c r="O14" s="89">
        <v>56010</v>
      </c>
    </row>
    <row r="15" spans="2:15" ht="30.75" thickBot="1">
      <c r="B15" s="1"/>
      <c r="E15" s="2"/>
      <c r="K15" s="87" t="s">
        <v>143</v>
      </c>
      <c r="L15" s="86" t="s">
        <v>144</v>
      </c>
      <c r="M15" s="88">
        <v>1800</v>
      </c>
      <c r="N15" s="88">
        <v>5</v>
      </c>
      <c r="O15" s="89">
        <v>36940</v>
      </c>
    </row>
    <row r="16" spans="1:15" ht="45">
      <c r="A16" s="63" t="s">
        <v>63</v>
      </c>
      <c r="B16" s="68" t="s">
        <v>99</v>
      </c>
      <c r="E16" s="2"/>
      <c r="K16" s="87" t="s">
        <v>145</v>
      </c>
      <c r="L16" s="86" t="s">
        <v>146</v>
      </c>
      <c r="M16" s="88">
        <v>1800</v>
      </c>
      <c r="N16" s="88">
        <v>5</v>
      </c>
      <c r="O16" s="89">
        <v>46210</v>
      </c>
    </row>
    <row r="17" spans="1:15" ht="45">
      <c r="A17" s="39">
        <v>300</v>
      </c>
      <c r="B17" s="61">
        <f>(A17/3.5)*3.78541178</f>
        <v>324.4638668571428</v>
      </c>
      <c r="K17" s="87" t="s">
        <v>147</v>
      </c>
      <c r="L17" s="86" t="s">
        <v>148</v>
      </c>
      <c r="M17" s="88">
        <v>1800</v>
      </c>
      <c r="N17" s="88">
        <v>5</v>
      </c>
      <c r="O17" s="89">
        <v>51610</v>
      </c>
    </row>
    <row r="18" spans="1:15" ht="30">
      <c r="A18" s="39" t="s">
        <v>98</v>
      </c>
      <c r="B18" s="61">
        <f>B17*0.15</f>
        <v>48.669580028571424</v>
      </c>
      <c r="C18" s="24"/>
      <c r="K18" s="87" t="s">
        <v>149</v>
      </c>
      <c r="L18" s="86" t="s">
        <v>150</v>
      </c>
      <c r="M18" s="88">
        <v>1800</v>
      </c>
      <c r="N18" s="88">
        <v>5</v>
      </c>
      <c r="O18" s="89">
        <v>61920</v>
      </c>
    </row>
    <row r="19" spans="1:15" ht="45.75" thickBot="1">
      <c r="A19" s="39" t="s">
        <v>64</v>
      </c>
      <c r="B19" s="61">
        <f>INT((B17-B18)/12)</f>
        <v>22</v>
      </c>
      <c r="K19" s="87" t="s">
        <v>151</v>
      </c>
      <c r="L19" s="86" t="s">
        <v>152</v>
      </c>
      <c r="M19" s="88">
        <v>1800</v>
      </c>
      <c r="N19" s="88">
        <v>5</v>
      </c>
      <c r="O19" s="89">
        <v>63140</v>
      </c>
    </row>
    <row r="20" spans="1:15" ht="30.75" thickBot="1">
      <c r="A20" s="40" t="s">
        <v>101</v>
      </c>
      <c r="B20" s="67">
        <f>B19*24</f>
        <v>528</v>
      </c>
      <c r="D20" s="268" t="s">
        <v>36</v>
      </c>
      <c r="E20" s="269"/>
      <c r="F20" s="270"/>
      <c r="K20" s="87" t="s">
        <v>153</v>
      </c>
      <c r="L20" s="86" t="s">
        <v>154</v>
      </c>
      <c r="M20" s="88">
        <v>1800</v>
      </c>
      <c r="N20" s="88">
        <v>3</v>
      </c>
      <c r="O20" s="89">
        <v>64900</v>
      </c>
    </row>
    <row r="21" spans="1:15" ht="30">
      <c r="A21" s="84" t="s">
        <v>100</v>
      </c>
      <c r="B21" s="24">
        <f>B20*2*2</f>
        <v>2112</v>
      </c>
      <c r="D21" s="73"/>
      <c r="E21" s="74" t="s">
        <v>15</v>
      </c>
      <c r="F21" s="75" t="s">
        <v>35</v>
      </c>
      <c r="K21" s="87" t="s">
        <v>155</v>
      </c>
      <c r="L21" s="86" t="s">
        <v>154</v>
      </c>
      <c r="M21" s="88">
        <v>1800</v>
      </c>
      <c r="N21" s="88">
        <v>3</v>
      </c>
      <c r="O21" s="89">
        <v>67850</v>
      </c>
    </row>
    <row r="22" spans="4:15" ht="30">
      <c r="D22" s="73" t="s">
        <v>33</v>
      </c>
      <c r="E22" s="31">
        <f>E10+E9</f>
        <v>11.504463131543012</v>
      </c>
      <c r="F22" s="32">
        <f>G11</f>
        <v>4.995536868456988</v>
      </c>
      <c r="K22" s="87" t="s">
        <v>156</v>
      </c>
      <c r="L22" s="86" t="s">
        <v>157</v>
      </c>
      <c r="M22" s="88">
        <v>2000</v>
      </c>
      <c r="N22" s="88">
        <v>3</v>
      </c>
      <c r="O22" s="89">
        <v>76120</v>
      </c>
    </row>
    <row r="23" spans="2:15" ht="30.75" thickBot="1">
      <c r="B23" s="1"/>
      <c r="D23" s="76" t="s">
        <v>34</v>
      </c>
      <c r="E23" s="33">
        <v>138</v>
      </c>
      <c r="F23" s="41">
        <v>60</v>
      </c>
      <c r="K23" s="87" t="s">
        <v>158</v>
      </c>
      <c r="L23" s="86" t="s">
        <v>159</v>
      </c>
      <c r="M23" s="88">
        <v>2000</v>
      </c>
      <c r="N23" s="88">
        <v>3</v>
      </c>
      <c r="O23" s="89">
        <v>87740</v>
      </c>
    </row>
    <row r="24" spans="2:15" ht="30">
      <c r="B24" s="1"/>
      <c r="K24" s="87" t="s">
        <v>160</v>
      </c>
      <c r="L24" s="86" t="s">
        <v>161</v>
      </c>
      <c r="M24" s="88">
        <v>2000</v>
      </c>
      <c r="N24" s="88">
        <v>3</v>
      </c>
      <c r="O24" s="89">
        <v>120330</v>
      </c>
    </row>
    <row r="25" spans="1:15" ht="30.75" thickBot="1">
      <c r="A25" s="3"/>
      <c r="B25" s="1"/>
      <c r="K25" s="87" t="s">
        <v>162</v>
      </c>
      <c r="L25" s="86" t="s">
        <v>163</v>
      </c>
      <c r="M25" s="88">
        <v>2000</v>
      </c>
      <c r="N25" s="88">
        <v>3</v>
      </c>
      <c r="O25" s="89">
        <v>125170</v>
      </c>
    </row>
    <row r="26" spans="1:15" ht="30">
      <c r="A26" s="57" t="s">
        <v>102</v>
      </c>
      <c r="B26" s="27">
        <v>100000</v>
      </c>
      <c r="K26" s="87" t="s">
        <v>164</v>
      </c>
      <c r="L26" s="86" t="s">
        <v>161</v>
      </c>
      <c r="M26" s="88">
        <v>3000</v>
      </c>
      <c r="N26" s="88">
        <v>3</v>
      </c>
      <c r="O26" s="89">
        <v>108820</v>
      </c>
    </row>
    <row r="27" spans="1:16" ht="30">
      <c r="A27" s="39" t="s">
        <v>103</v>
      </c>
      <c r="B27" s="26">
        <v>10000</v>
      </c>
      <c r="J27" s="93"/>
      <c r="K27" s="94" t="s">
        <v>165</v>
      </c>
      <c r="L27" s="95" t="s">
        <v>163</v>
      </c>
      <c r="M27" s="96">
        <v>3000</v>
      </c>
      <c r="N27" s="96">
        <v>3</v>
      </c>
      <c r="O27" s="97">
        <v>129460</v>
      </c>
      <c r="P27" s="93"/>
    </row>
    <row r="28" spans="1:15" ht="30">
      <c r="A28" s="39" t="s">
        <v>105</v>
      </c>
      <c r="B28" s="26">
        <v>40000</v>
      </c>
      <c r="D28" t="s">
        <v>174</v>
      </c>
      <c r="K28" s="87" t="s">
        <v>166</v>
      </c>
      <c r="L28" s="86" t="s">
        <v>161</v>
      </c>
      <c r="M28" s="88">
        <v>3600</v>
      </c>
      <c r="N28" s="88">
        <v>3</v>
      </c>
      <c r="O28" s="89">
        <v>118463</v>
      </c>
    </row>
    <row r="29" spans="1:15" ht="30">
      <c r="A29" s="39" t="s">
        <v>104</v>
      </c>
      <c r="B29" s="26">
        <v>10000</v>
      </c>
      <c r="D29" t="s">
        <v>175</v>
      </c>
      <c r="K29" s="87" t="s">
        <v>167</v>
      </c>
      <c r="L29" s="86" t="s">
        <v>163</v>
      </c>
      <c r="M29" s="88">
        <v>3600</v>
      </c>
      <c r="N29" s="88">
        <v>3</v>
      </c>
      <c r="O29" s="89">
        <v>155980</v>
      </c>
    </row>
    <row r="30" spans="1:15" ht="30">
      <c r="A30" s="39" t="s">
        <v>106</v>
      </c>
      <c r="B30" s="26">
        <v>40000</v>
      </c>
      <c r="D30" t="s">
        <v>174</v>
      </c>
      <c r="K30" s="87" t="s">
        <v>168</v>
      </c>
      <c r="L30" s="86" t="s">
        <v>161</v>
      </c>
      <c r="M30" s="88">
        <v>4300</v>
      </c>
      <c r="N30" s="88">
        <v>3</v>
      </c>
      <c r="O30" s="89">
        <v>113953</v>
      </c>
    </row>
    <row r="31" spans="1:15" ht="30">
      <c r="A31" s="39" t="s">
        <v>112</v>
      </c>
      <c r="B31" s="26">
        <v>150000</v>
      </c>
      <c r="K31" s="87" t="s">
        <v>169</v>
      </c>
      <c r="L31" s="86" t="s">
        <v>163</v>
      </c>
      <c r="M31" s="88">
        <v>4300</v>
      </c>
      <c r="N31" s="88">
        <v>3</v>
      </c>
      <c r="O31" s="89">
        <v>160990</v>
      </c>
    </row>
    <row r="32" spans="1:15" ht="30">
      <c r="A32" s="39" t="s">
        <v>111</v>
      </c>
      <c r="B32" s="26">
        <v>0</v>
      </c>
      <c r="K32" s="87" t="s">
        <v>170</v>
      </c>
      <c r="L32" s="86" t="s">
        <v>161</v>
      </c>
      <c r="M32" s="88">
        <v>5200</v>
      </c>
      <c r="N32" s="88">
        <v>3</v>
      </c>
      <c r="O32" s="89">
        <v>116273</v>
      </c>
    </row>
    <row r="33" spans="1:15" ht="30">
      <c r="A33" s="39" t="s">
        <v>107</v>
      </c>
      <c r="B33" s="26">
        <v>0</v>
      </c>
      <c r="K33" s="87" t="s">
        <v>171</v>
      </c>
      <c r="L33" s="86" t="s">
        <v>163</v>
      </c>
      <c r="M33" s="88">
        <v>5200</v>
      </c>
      <c r="N33" s="88">
        <v>3</v>
      </c>
      <c r="O33" s="89">
        <v>174280</v>
      </c>
    </row>
    <row r="34" spans="1:15" ht="30">
      <c r="A34" s="39" t="s">
        <v>108</v>
      </c>
      <c r="B34" s="26">
        <v>0</v>
      </c>
      <c r="K34" s="87" t="s">
        <v>172</v>
      </c>
      <c r="L34" s="86" t="s">
        <v>161</v>
      </c>
      <c r="M34" s="88">
        <v>6000</v>
      </c>
      <c r="N34" s="88">
        <v>3</v>
      </c>
      <c r="O34" s="89">
        <v>133790</v>
      </c>
    </row>
    <row r="35" spans="1:15" ht="30">
      <c r="A35" s="39" t="s">
        <v>109</v>
      </c>
      <c r="B35" s="26">
        <v>0</v>
      </c>
      <c r="K35" s="87" t="s">
        <v>173</v>
      </c>
      <c r="L35" s="86" t="s">
        <v>163</v>
      </c>
      <c r="M35" s="88">
        <v>6000</v>
      </c>
      <c r="N35" s="88">
        <v>3</v>
      </c>
      <c r="O35" s="89">
        <v>197100</v>
      </c>
    </row>
    <row r="36" spans="1:2" ht="15.75" thickBot="1">
      <c r="A36" s="40" t="s">
        <v>110</v>
      </c>
      <c r="B36" s="28">
        <v>0</v>
      </c>
    </row>
    <row r="37" ht="15.75" thickBot="1">
      <c r="B37" s="98">
        <f>SUM(B26:B36)</f>
        <v>350000</v>
      </c>
    </row>
  </sheetData>
  <sheetProtection/>
  <mergeCells count="6">
    <mergeCell ref="D20:F20"/>
    <mergeCell ref="K1:O1"/>
    <mergeCell ref="K6:K7"/>
    <mergeCell ref="L6:L7"/>
    <mergeCell ref="N6:N7"/>
    <mergeCell ref="O6:O7"/>
  </mergeCells>
  <hyperlinks>
    <hyperlink ref="K3" r:id="rId1" display="http://fillers.com/bottled water/BWL600BF.htm"/>
    <hyperlink ref="K4" r:id="rId2" display="http://fillers.com/bottled water/BWL600BF-MC.htm"/>
    <hyperlink ref="K5" r:id="rId3" display="http://fillers.com/bottled water/BWL600BF-MC-SL.htm"/>
    <hyperlink ref="K6" r:id="rId4" display="http://fillers.com/bottled water/BWL1200MF-MC-SL.htm"/>
    <hyperlink ref="K8" r:id="rId5" display="http://fillers.com/bottled water/BWL1000BF.htm"/>
    <hyperlink ref="K9" r:id="rId6" display="http://fillers.com/bottled water/BWL1000BF-MC.htm"/>
    <hyperlink ref="K10" r:id="rId7" display="http://fillers.com/bottled water/BWL1000BF-MC-SL.htm"/>
    <hyperlink ref="K11" r:id="rId8" display="http://fillers.com/bottled water/BWL1200SF-MC-SL.htm"/>
    <hyperlink ref="K12" r:id="rId9" display="http://fillers.com/bottled water/BWL1200SF-MC-SL.htm"/>
    <hyperlink ref="K13" r:id="rId10" display="http://fillers.com/bottled water/BWL1200AF-MC-SL.htm"/>
    <hyperlink ref="K14" r:id="rId11" display="http://fillers.com/bottled water/BWL1200AF-VAR-MC-SL.htm"/>
    <hyperlink ref="K15" r:id="rId12" display="http://fillers.com/bottled water/BWL1800MF-MC2-SL2.htm"/>
    <hyperlink ref="K16" r:id="rId13" display="http://fillers.com/bottled water/BWL1800SF-MC2-SL2.htm"/>
    <hyperlink ref="K17" r:id="rId14" display="http://fillers.com/bottled water/BWL1800SF-VAR-MC2-SL2.htm"/>
    <hyperlink ref="K18" r:id="rId15" display="http://fillers.com/bottled water/BWL1800AF-MC2-SL2.htm"/>
    <hyperlink ref="K19" r:id="rId16" display="http://fillers.com/bottled water/BWL1800AF-VAR-MC2-SL2.htm"/>
    <hyperlink ref="K20" r:id="rId17" display="http://fillers.com/bottled water/BWL1800AF-VAR-MC2-AL.htm"/>
    <hyperlink ref="K21" r:id="rId18" display="http://fillers.com/bottled water/BWL1800AF-MC2-AL.htm"/>
    <hyperlink ref="K22" r:id="rId19" display="http://fillers.com/bottled water/BWL2000AF-SC-AL.htm"/>
    <hyperlink ref="K23" r:id="rId20" display="http://fillers.com/bottled water/BWL2000AF-VAR-SC-AL.htm"/>
    <hyperlink ref="K24" r:id="rId21" display="http://fillers.com/bottled water/BWL2000AF-AC-AL.htm"/>
    <hyperlink ref="K25" r:id="rId22" display="http://fillers.com/bottled water/BWL2000AF-VAR-AC-AL.htm"/>
    <hyperlink ref="K26" r:id="rId23" display="http://fillers.com/bottled water/BWL3000AF-AC-AL.htm"/>
    <hyperlink ref="K27" r:id="rId24" display="http://fillers.com/bottled water/BWL3000AF-VAR-AC-AL.htm"/>
    <hyperlink ref="K28" r:id="rId25" display="http://fillers.com/bottled water/BWL3600AF-AC-AL.htm"/>
    <hyperlink ref="K29" r:id="rId26" display="http://fillers.com/bottled water/BWL3600AF-VAR-AC-AL.htm"/>
    <hyperlink ref="K30" r:id="rId27" display="http://fillers.com/bottled water/BWL4300AF-AC-AL.htm"/>
    <hyperlink ref="K31" r:id="rId28" display="http://fillers.com/bottled water/BWL4300AF-VAR-AC-AL.htm"/>
    <hyperlink ref="K32" r:id="rId29" display="http://fillers.com/bottled water/BWL5200AF-AC-AL.htm"/>
    <hyperlink ref="K33" r:id="rId30" display="http://fillers.com/bottled water/BWL5200AF-VAR-AC-AL.htm"/>
    <hyperlink ref="K34" r:id="rId31" display="http://fillers.com/bottled water/BWL6000AF-AC-AL.htm"/>
    <hyperlink ref="K35" r:id="rId32" display="http://fillers.com/bottled water/BWL6000AF-VAR-AC-AL.htm"/>
  </hyperlinks>
  <printOptions/>
  <pageMargins left="0.7" right="0.7" top="0.75" bottom="0.75" header="0.3" footer="0.3"/>
  <pageSetup orientation="portrait" r:id="rId35"/>
  <legacyDrawing r:id="rId34"/>
</worksheet>
</file>

<file path=xl/worksheets/sheet35.xml><?xml version="1.0" encoding="utf-8"?>
<worksheet xmlns="http://schemas.openxmlformats.org/spreadsheetml/2006/main" xmlns:r="http://schemas.openxmlformats.org/officeDocument/2006/relationships">
  <dimension ref="A1:J16"/>
  <sheetViews>
    <sheetView zoomScalePageLayoutView="0" workbookViewId="0" topLeftCell="A1">
      <selection activeCell="C14" sqref="C14"/>
    </sheetView>
  </sheetViews>
  <sheetFormatPr defaultColWidth="9.140625" defaultRowHeight="15"/>
  <cols>
    <col min="1" max="1" width="30.28125" style="0" customWidth="1"/>
    <col min="2" max="2" width="13.57421875" style="0" customWidth="1"/>
    <col min="4" max="4" width="20.421875" style="0" customWidth="1"/>
    <col min="6" max="6" width="13.140625" style="0" customWidth="1"/>
    <col min="7" max="7" width="11.00390625" style="0" customWidth="1"/>
    <col min="8" max="8" width="18.57421875" style="0" customWidth="1"/>
  </cols>
  <sheetData>
    <row r="1" spans="1:6" ht="15">
      <c r="A1" s="6" t="s">
        <v>6</v>
      </c>
      <c r="B1" s="14" t="s">
        <v>185</v>
      </c>
      <c r="C1" s="14" t="s">
        <v>12</v>
      </c>
      <c r="D1" s="14" t="s">
        <v>186</v>
      </c>
      <c r="F1" s="15" t="s">
        <v>22</v>
      </c>
    </row>
    <row r="2" spans="1:7" ht="15">
      <c r="A2" s="113" t="s">
        <v>11</v>
      </c>
      <c r="B2" s="114">
        <v>4.1</v>
      </c>
      <c r="C2" s="115">
        <v>1</v>
      </c>
      <c r="D2" s="116">
        <f aca="true" t="shared" si="0" ref="D2:D10">B2*C2</f>
        <v>4.1</v>
      </c>
      <c r="F2" t="s">
        <v>23</v>
      </c>
      <c r="G2" s="48">
        <f>(1500/2)/1000</f>
        <v>0.75</v>
      </c>
    </row>
    <row r="3" spans="1:7" ht="15">
      <c r="A3" s="113" t="s">
        <v>85</v>
      </c>
      <c r="B3" s="114">
        <v>1</v>
      </c>
      <c r="C3" s="115">
        <v>8</v>
      </c>
      <c r="D3" s="116">
        <f t="shared" si="0"/>
        <v>8</v>
      </c>
      <c r="F3" t="s">
        <v>24</v>
      </c>
      <c r="G3" s="77">
        <v>0.10678</v>
      </c>
    </row>
    <row r="4" spans="1:7" ht="15">
      <c r="A4" s="5" t="s">
        <v>16</v>
      </c>
      <c r="B4" s="7">
        <v>0.62</v>
      </c>
      <c r="C4" s="9">
        <v>1</v>
      </c>
      <c r="D4" s="8">
        <f t="shared" si="0"/>
        <v>0.62</v>
      </c>
      <c r="F4" t="s">
        <v>25</v>
      </c>
      <c r="G4" s="48">
        <v>10</v>
      </c>
    </row>
    <row r="5" spans="1:7" ht="15">
      <c r="A5" s="5" t="s">
        <v>19</v>
      </c>
      <c r="B5" s="7">
        <v>0.4</v>
      </c>
      <c r="C5" s="9">
        <v>19</v>
      </c>
      <c r="D5" s="8">
        <f t="shared" si="0"/>
        <v>7.6000000000000005</v>
      </c>
      <c r="G5" s="77">
        <f>G2*G3*G4</f>
        <v>0.8008500000000001</v>
      </c>
    </row>
    <row r="6" spans="1:6" ht="15">
      <c r="A6" s="113" t="s">
        <v>17</v>
      </c>
      <c r="B6" s="114">
        <v>1.2</v>
      </c>
      <c r="C6" s="115">
        <v>8</v>
      </c>
      <c r="D6" s="116">
        <f t="shared" si="0"/>
        <v>9.6</v>
      </c>
      <c r="E6" s="65"/>
      <c r="F6" s="17"/>
    </row>
    <row r="7" spans="1:4" ht="15">
      <c r="A7" s="10" t="s">
        <v>18</v>
      </c>
      <c r="B7" s="11">
        <v>1</v>
      </c>
      <c r="C7" s="12">
        <v>1.25</v>
      </c>
      <c r="D7" s="13">
        <f t="shared" si="0"/>
        <v>1.25</v>
      </c>
    </row>
    <row r="8" spans="1:4" ht="15">
      <c r="A8" s="5" t="s">
        <v>13</v>
      </c>
      <c r="B8" s="7">
        <v>1</v>
      </c>
      <c r="C8" s="9">
        <v>1</v>
      </c>
      <c r="D8" s="8">
        <f t="shared" si="0"/>
        <v>1</v>
      </c>
    </row>
    <row r="9" spans="1:4" ht="15">
      <c r="A9" s="5" t="s">
        <v>23</v>
      </c>
      <c r="B9" s="7">
        <v>0.08</v>
      </c>
      <c r="C9" s="9">
        <v>10</v>
      </c>
      <c r="D9" s="8">
        <f t="shared" si="0"/>
        <v>0.8</v>
      </c>
    </row>
    <row r="10" spans="1:4" ht="15">
      <c r="A10" s="5" t="s">
        <v>86</v>
      </c>
      <c r="B10" s="5">
        <v>0.007469276285844333</v>
      </c>
      <c r="C10" s="9">
        <v>8</v>
      </c>
      <c r="D10" s="8">
        <f t="shared" si="0"/>
        <v>0.059754210286754664</v>
      </c>
    </row>
    <row r="11" spans="1:6" ht="15">
      <c r="A11" s="282" t="s">
        <v>14</v>
      </c>
      <c r="B11" s="283"/>
      <c r="C11" s="284"/>
      <c r="D11" s="16">
        <f>SUM(D2:D10)</f>
        <v>33.029754210286754</v>
      </c>
      <c r="E11" s="17">
        <f>D11-E6</f>
        <v>33.029754210286754</v>
      </c>
      <c r="F11" s="17">
        <f>E11/8</f>
        <v>4.128719276285844</v>
      </c>
    </row>
    <row r="12" spans="9:10" ht="15">
      <c r="I12" s="252" t="s">
        <v>84</v>
      </c>
      <c r="J12" s="252"/>
    </row>
    <row r="13" spans="9:10" ht="15">
      <c r="I13">
        <v>21970</v>
      </c>
      <c r="J13">
        <v>164.1</v>
      </c>
    </row>
    <row r="14" spans="1:10" ht="15">
      <c r="A14" t="s">
        <v>26</v>
      </c>
      <c r="B14" s="17">
        <f>D11/8</f>
        <v>4.128719276285844</v>
      </c>
      <c r="J14">
        <f>J13/I13</f>
        <v>0.007469276285844333</v>
      </c>
    </row>
    <row r="16" spans="1:3" ht="15">
      <c r="A16" t="s">
        <v>27</v>
      </c>
      <c r="B16">
        <v>1</v>
      </c>
      <c r="C16">
        <v>0.94</v>
      </c>
    </row>
  </sheetData>
  <sheetProtection/>
  <mergeCells count="2">
    <mergeCell ref="A11:C11"/>
    <mergeCell ref="I12:J12"/>
  </mergeCells>
  <printOp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R47"/>
  <sheetViews>
    <sheetView view="pageLayout" workbookViewId="0" topLeftCell="A1">
      <selection activeCell="A2" sqref="A2"/>
    </sheetView>
  </sheetViews>
  <sheetFormatPr defaultColWidth="9.140625" defaultRowHeight="15"/>
  <cols>
    <col min="1" max="1" width="28.00390625" style="0" customWidth="1"/>
    <col min="2" max="2" width="14.28125" style="0" bestFit="1" customWidth="1"/>
    <col min="3" max="4" width="15.00390625" style="0" bestFit="1" customWidth="1"/>
    <col min="5" max="6" width="15.28125" style="0" bestFit="1" customWidth="1"/>
    <col min="7" max="7" width="15.28125" style="0" customWidth="1"/>
    <col min="8" max="8" width="15.28125" style="0" bestFit="1" customWidth="1"/>
    <col min="11" max="11" width="30.7109375" style="0" customWidth="1"/>
    <col min="12" max="18" width="18.140625" style="0" customWidth="1"/>
  </cols>
  <sheetData>
    <row r="1" spans="1:18" ht="18.75">
      <c r="A1" s="57"/>
      <c r="B1" s="101" t="s">
        <v>15</v>
      </c>
      <c r="C1" s="101" t="s">
        <v>35</v>
      </c>
      <c r="D1" s="101" t="s">
        <v>54</v>
      </c>
      <c r="E1" s="125"/>
      <c r="F1" s="125"/>
      <c r="G1" s="125"/>
      <c r="H1" s="126"/>
      <c r="K1" s="199"/>
      <c r="L1" s="199"/>
      <c r="M1" s="199"/>
      <c r="N1" s="199"/>
      <c r="O1" s="199"/>
      <c r="P1" s="199"/>
      <c r="Q1" s="199"/>
      <c r="R1" s="207"/>
    </row>
    <row r="2" spans="1:18" ht="18.75">
      <c r="A2" s="169" t="s">
        <v>281</v>
      </c>
      <c r="B2" s="172">
        <f>Calcs!E22</f>
        <v>11.504463131543012</v>
      </c>
      <c r="C2" s="172">
        <f>Calcs!F22</f>
        <v>4.995536868456988</v>
      </c>
      <c r="D2" s="122">
        <f>B2+C2</f>
        <v>16.5</v>
      </c>
      <c r="E2" s="74"/>
      <c r="F2" s="74"/>
      <c r="G2" s="74"/>
      <c r="H2" s="75"/>
      <c r="K2" s="199"/>
      <c r="L2" s="199"/>
      <c r="M2" s="199"/>
      <c r="N2" s="199"/>
      <c r="O2" s="199"/>
      <c r="P2" s="199"/>
      <c r="Q2" s="199"/>
      <c r="R2" s="200"/>
    </row>
    <row r="3" spans="1:18" ht="15">
      <c r="A3" s="169" t="s">
        <v>282</v>
      </c>
      <c r="B3" s="172">
        <f>Calcs!E23</f>
        <v>138</v>
      </c>
      <c r="C3" s="172">
        <f>Calcs!F23</f>
        <v>60</v>
      </c>
      <c r="D3" s="122">
        <f>SUM(B3:C3)</f>
        <v>198</v>
      </c>
      <c r="E3" s="74"/>
      <c r="F3" s="74"/>
      <c r="G3" s="74"/>
      <c r="H3" s="75"/>
      <c r="K3" s="201"/>
      <c r="L3" s="202"/>
      <c r="M3" s="202"/>
      <c r="N3" s="202"/>
      <c r="O3" s="202"/>
      <c r="P3" s="202"/>
      <c r="Q3" s="202"/>
      <c r="R3" s="202"/>
    </row>
    <row r="4" spans="1:18" ht="15">
      <c r="A4" s="169" t="s">
        <v>283</v>
      </c>
      <c r="B4" s="177">
        <v>0</v>
      </c>
      <c r="C4" s="177">
        <v>1</v>
      </c>
      <c r="D4" s="177">
        <v>1</v>
      </c>
      <c r="E4" s="177">
        <v>2</v>
      </c>
      <c r="F4" s="177">
        <v>4</v>
      </c>
      <c r="G4" s="177">
        <v>5</v>
      </c>
      <c r="H4" s="198"/>
      <c r="K4" s="145"/>
      <c r="L4" s="203"/>
      <c r="M4" s="203"/>
      <c r="N4" s="203"/>
      <c r="O4" s="203"/>
      <c r="P4" s="203"/>
      <c r="Q4" s="203"/>
      <c r="R4" s="203"/>
    </row>
    <row r="5" spans="1:18" ht="15">
      <c r="A5" s="169" t="s">
        <v>284</v>
      </c>
      <c r="B5" s="123">
        <f>'FY 0 Worst'!N5</f>
        <v>0</v>
      </c>
      <c r="C5" s="123">
        <f>'FY 1 Worst'!N5</f>
        <v>1936</v>
      </c>
      <c r="D5" s="123">
        <f>'FY 2 Worst'!N5</f>
        <v>17312.716137933225</v>
      </c>
      <c r="E5" s="123">
        <f>'FY 3 Worst'!N5</f>
        <v>38605.03972399722</v>
      </c>
      <c r="F5" s="123">
        <f>'FY 4 Worst'!N5</f>
        <v>69329.10480467601</v>
      </c>
      <c r="G5" s="123">
        <f>'FY 5 Worst'!N5</f>
        <v>108896.75682167994</v>
      </c>
      <c r="H5" s="32">
        <f>SUM(B5:G5)</f>
        <v>236079.6174882864</v>
      </c>
      <c r="K5" s="145"/>
      <c r="L5" s="145"/>
      <c r="M5" s="145"/>
      <c r="N5" s="145"/>
      <c r="O5" s="145"/>
      <c r="P5" s="145"/>
      <c r="Q5" s="145"/>
      <c r="R5" s="139"/>
    </row>
    <row r="6" spans="1:18" ht="15">
      <c r="A6" s="169" t="s">
        <v>68</v>
      </c>
      <c r="B6" s="174" t="s">
        <v>75</v>
      </c>
      <c r="C6" s="174" t="s">
        <v>69</v>
      </c>
      <c r="D6" s="174" t="s">
        <v>73</v>
      </c>
      <c r="E6" s="174" t="s">
        <v>74</v>
      </c>
      <c r="F6" s="174" t="s">
        <v>76</v>
      </c>
      <c r="G6" s="174" t="s">
        <v>77</v>
      </c>
      <c r="H6" s="194" t="s">
        <v>216</v>
      </c>
      <c r="K6" s="145"/>
      <c r="L6" s="203"/>
      <c r="M6" s="203"/>
      <c r="N6" s="203"/>
      <c r="O6" s="203"/>
      <c r="P6" s="203"/>
      <c r="Q6" s="203"/>
      <c r="R6" s="203"/>
    </row>
    <row r="7" spans="1:18" ht="15">
      <c r="A7" s="169" t="s">
        <v>55</v>
      </c>
      <c r="B7" s="31">
        <f>'FY 0 Worst'!N7</f>
        <v>0</v>
      </c>
      <c r="C7" s="31">
        <f>'FY 1 Worst'!N7</f>
        <v>383328</v>
      </c>
      <c r="D7" s="31">
        <f>'FY 2 Worst'!N7</f>
        <v>3427917.7953107785</v>
      </c>
      <c r="E7" s="31">
        <f>'FY 3 Worst'!N7</f>
        <v>7643797.86535145</v>
      </c>
      <c r="F7" s="31">
        <f>'FY 4 Worst'!N7</f>
        <v>13727162.751325851</v>
      </c>
      <c r="G7" s="31">
        <f>'FY 5 Worst'!N7</f>
        <v>21561557.850692634</v>
      </c>
      <c r="H7" s="32">
        <f>SUM(B7:G7)</f>
        <v>46743764.26268071</v>
      </c>
      <c r="K7" s="145"/>
      <c r="L7" s="203"/>
      <c r="M7" s="203"/>
      <c r="N7" s="203"/>
      <c r="O7" s="203"/>
      <c r="P7" s="203"/>
      <c r="Q7" s="203"/>
      <c r="R7" s="202"/>
    </row>
    <row r="8" spans="1:18" ht="15">
      <c r="A8" s="193"/>
      <c r="B8" s="36"/>
      <c r="C8" s="36"/>
      <c r="D8" s="36"/>
      <c r="E8" s="36"/>
      <c r="F8" s="36"/>
      <c r="G8" s="36"/>
      <c r="H8" s="37"/>
      <c r="K8" s="145"/>
      <c r="L8" s="203"/>
      <c r="M8" s="203"/>
      <c r="N8" s="203"/>
      <c r="O8" s="203"/>
      <c r="P8" s="203"/>
      <c r="Q8" s="203"/>
      <c r="R8" s="203"/>
    </row>
    <row r="9" spans="1:18" ht="15">
      <c r="A9" s="169" t="s">
        <v>56</v>
      </c>
      <c r="B9" s="31">
        <f>'FY 0 Worst'!N9</f>
        <v>0</v>
      </c>
      <c r="C9" s="31">
        <f>'FY 1 Worst'!N9</f>
        <v>267168</v>
      </c>
      <c r="D9" s="31">
        <f>'FY 2 Worst'!N9</f>
        <v>2389154.827034785</v>
      </c>
      <c r="E9" s="31">
        <f>'FY 3 Worst'!N9</f>
        <v>5327495.481911616</v>
      </c>
      <c r="F9" s="31">
        <f>'FY 4 Worst'!N9</f>
        <v>9567416.46304529</v>
      </c>
      <c r="G9" s="31">
        <f>'FY 5 Worst'!N9</f>
        <v>15027752.441391835</v>
      </c>
      <c r="H9" s="32">
        <f>SUM(B9:G9)</f>
        <v>32578987.213383526</v>
      </c>
      <c r="K9" s="145"/>
      <c r="L9" s="203"/>
      <c r="M9" s="203"/>
      <c r="N9" s="203"/>
      <c r="O9" s="203"/>
      <c r="P9" s="203"/>
      <c r="Q9" s="203"/>
      <c r="R9" s="203"/>
    </row>
    <row r="10" spans="1:18" ht="15">
      <c r="A10" s="169" t="s">
        <v>215</v>
      </c>
      <c r="B10" s="31">
        <f>'FY 0 Worst'!N10</f>
        <v>25000</v>
      </c>
      <c r="C10" s="31">
        <f>'FY 1 Worst'!N10</f>
        <v>0</v>
      </c>
      <c r="D10" s="31">
        <f>'FY 2 Worst'!N10</f>
        <v>0</v>
      </c>
      <c r="E10" s="31">
        <f>'FY 3 Worst'!N10</f>
        <v>0</v>
      </c>
      <c r="F10" s="31">
        <f>'FY 4 Worst'!N10</f>
        <v>0</v>
      </c>
      <c r="G10" s="31">
        <f>'FY 5 Worst'!N10</f>
        <v>0</v>
      </c>
      <c r="H10" s="32">
        <f aca="true" t="shared" si="0" ref="H10:H33">SUM(B10:G10)</f>
        <v>25000</v>
      </c>
      <c r="K10" s="145"/>
      <c r="L10" s="204"/>
      <c r="M10" s="204"/>
      <c r="N10" s="204"/>
      <c r="O10" s="204"/>
      <c r="P10" s="204"/>
      <c r="Q10" s="204"/>
      <c r="R10" s="204"/>
    </row>
    <row r="11" spans="1:18" ht="15">
      <c r="A11" s="169" t="s">
        <v>194</v>
      </c>
      <c r="B11" s="31">
        <f>'FY 0 Worst'!N11</f>
        <v>0</v>
      </c>
      <c r="C11" s="31">
        <f>'FY 1 Worst'!N11</f>
        <v>200000</v>
      </c>
      <c r="D11" s="31">
        <f>'FY 2 Worst'!N11</f>
        <v>200000</v>
      </c>
      <c r="E11" s="31">
        <f>'FY 3 Worst'!N11</f>
        <v>200000</v>
      </c>
      <c r="F11" s="31">
        <f>'FY 4 Worst'!N11</f>
        <v>200000</v>
      </c>
      <c r="G11" s="31">
        <f>'FY 5 Worst'!N11</f>
        <v>200000</v>
      </c>
      <c r="H11" s="32">
        <f t="shared" si="0"/>
        <v>1000000</v>
      </c>
      <c r="K11" s="145"/>
      <c r="L11" s="139"/>
      <c r="M11" s="139"/>
      <c r="N11" s="139"/>
      <c r="O11" s="139"/>
      <c r="P11" s="139"/>
      <c r="Q11" s="139"/>
      <c r="R11" s="139"/>
    </row>
    <row r="12" spans="1:18" ht="15">
      <c r="A12" s="169" t="s">
        <v>208</v>
      </c>
      <c r="B12" s="31">
        <f>'FY 0 Worst'!N12</f>
        <v>0</v>
      </c>
      <c r="C12" s="31">
        <f>'FY 1 Worst'!N12</f>
        <v>0</v>
      </c>
      <c r="D12" s="31">
        <f>'FY 2 Worst'!N12</f>
        <v>0</v>
      </c>
      <c r="E12" s="31">
        <f>'FY 3 Worst'!N12</f>
        <v>0</v>
      </c>
      <c r="F12" s="31">
        <f>'FY 4 Worst'!N12</f>
        <v>0</v>
      </c>
      <c r="G12" s="31">
        <f>'FY 5 Worst'!N12</f>
        <v>0</v>
      </c>
      <c r="H12" s="32">
        <f t="shared" si="0"/>
        <v>0</v>
      </c>
      <c r="K12" s="145"/>
      <c r="L12" s="139"/>
      <c r="M12" s="139"/>
      <c r="N12" s="139"/>
      <c r="O12" s="139"/>
      <c r="P12" s="139"/>
      <c r="Q12" s="139"/>
      <c r="R12" s="139"/>
    </row>
    <row r="13" spans="1:18" ht="15">
      <c r="A13" s="169" t="s">
        <v>47</v>
      </c>
      <c r="B13" s="31">
        <f>'FY 0 Worst'!N13</f>
        <v>36000</v>
      </c>
      <c r="C13" s="31">
        <f>'FY 1 Worst'!N13</f>
        <v>36000</v>
      </c>
      <c r="D13" s="31">
        <f>'FY 2 Worst'!N13</f>
        <v>102000</v>
      </c>
      <c r="E13" s="31">
        <f>'FY 3 Worst'!N13</f>
        <v>300000</v>
      </c>
      <c r="F13" s="31">
        <f>'FY 4 Worst'!N13</f>
        <v>300000</v>
      </c>
      <c r="G13" s="31">
        <f>'FY 5 Worst'!N13</f>
        <v>300000</v>
      </c>
      <c r="H13" s="32">
        <f t="shared" si="0"/>
        <v>1074000</v>
      </c>
      <c r="K13" s="145"/>
      <c r="L13" s="139"/>
      <c r="M13" s="139"/>
      <c r="N13" s="139"/>
      <c r="O13" s="139"/>
      <c r="P13" s="139"/>
      <c r="Q13" s="139"/>
      <c r="R13" s="139"/>
    </row>
    <row r="14" spans="1:18" ht="15">
      <c r="A14" s="169" t="s">
        <v>285</v>
      </c>
      <c r="B14" s="31">
        <f>'FY 0 Worst'!N14</f>
        <v>0</v>
      </c>
      <c r="C14" s="31">
        <f>'FY 1 Worst'!N14</f>
        <v>10000</v>
      </c>
      <c r="D14" s="31">
        <f>'FY 2 Worst'!N14</f>
        <v>0</v>
      </c>
      <c r="E14" s="31">
        <f>'FY 3 Worst'!N14</f>
        <v>0</v>
      </c>
      <c r="F14" s="31">
        <f>'FY 4 Worst'!N14</f>
        <v>0</v>
      </c>
      <c r="G14" s="31">
        <f>'FY 5 Worst'!N14</f>
        <v>0</v>
      </c>
      <c r="H14" s="32">
        <f t="shared" si="0"/>
        <v>10000</v>
      </c>
      <c r="K14" s="145"/>
      <c r="L14" s="139"/>
      <c r="M14" s="139"/>
      <c r="N14" s="139"/>
      <c r="O14" s="139"/>
      <c r="P14" s="139"/>
      <c r="Q14" s="139"/>
      <c r="R14" s="139"/>
    </row>
    <row r="15" spans="1:18" ht="15">
      <c r="A15" s="169" t="s">
        <v>198</v>
      </c>
      <c r="B15" s="31">
        <f>'FY 0 Worst'!N15</f>
        <v>0</v>
      </c>
      <c r="C15" s="31">
        <f>'FY 1 Worst'!N15</f>
        <v>27150</v>
      </c>
      <c r="D15" s="31">
        <f>'FY 2 Worst'!N15</f>
        <v>54300</v>
      </c>
      <c r="E15" s="31">
        <f>'FY 3 Worst'!N15</f>
        <v>108600</v>
      </c>
      <c r="F15" s="31">
        <f>'FY 4 Worst'!N15</f>
        <v>158375</v>
      </c>
      <c r="G15" s="31">
        <f>'FY 5 Worst'!N15</f>
        <v>235300</v>
      </c>
      <c r="H15" s="32">
        <f t="shared" si="0"/>
        <v>583725</v>
      </c>
      <c r="K15" s="145"/>
      <c r="L15" s="139"/>
      <c r="M15" s="139"/>
      <c r="N15" s="139"/>
      <c r="O15" s="139"/>
      <c r="P15" s="139"/>
      <c r="Q15" s="139"/>
      <c r="R15" s="139"/>
    </row>
    <row r="16" spans="1:18" ht="15">
      <c r="A16" s="169" t="s">
        <v>199</v>
      </c>
      <c r="B16" s="31">
        <f>'FY 0 Worst'!N16</f>
        <v>0</v>
      </c>
      <c r="C16" s="31">
        <f>'FY 1 Worst'!N16</f>
        <v>9050</v>
      </c>
      <c r="D16" s="31">
        <f>'FY 2 Worst'!N16</f>
        <v>54300</v>
      </c>
      <c r="E16" s="31">
        <f>'FY 3 Worst'!N16</f>
        <v>85975</v>
      </c>
      <c r="F16" s="31">
        <f>'FY 4 Worst'!N16</f>
        <v>140275</v>
      </c>
      <c r="G16" s="31">
        <f>'FY 5 Worst'!N16</f>
        <v>221725</v>
      </c>
      <c r="H16" s="32">
        <f t="shared" si="0"/>
        <v>511325</v>
      </c>
      <c r="K16" s="205"/>
      <c r="L16" s="206"/>
      <c r="M16" s="206"/>
      <c r="N16" s="206"/>
      <c r="O16" s="206"/>
      <c r="P16" s="206"/>
      <c r="Q16" s="206"/>
      <c r="R16" s="206"/>
    </row>
    <row r="17" spans="1:8" ht="15">
      <c r="A17" s="169" t="s">
        <v>200</v>
      </c>
      <c r="B17" s="31">
        <f>'FY 0 Worst'!N17</f>
        <v>0</v>
      </c>
      <c r="C17" s="31">
        <f>'FY 1 Worst'!N17</f>
        <v>0</v>
      </c>
      <c r="D17" s="31">
        <f>'FY 2 Worst'!N17</f>
        <v>31675</v>
      </c>
      <c r="E17" s="31">
        <f>'FY 3 Worst'!N17</f>
        <v>67875</v>
      </c>
      <c r="F17" s="31">
        <f>'FY 4 Worst'!N17</f>
        <v>131225</v>
      </c>
      <c r="G17" s="31">
        <f>'FY 5 Worst'!N17</f>
        <v>199100</v>
      </c>
      <c r="H17" s="32">
        <f t="shared" si="0"/>
        <v>429875</v>
      </c>
    </row>
    <row r="18" spans="1:8" ht="15">
      <c r="A18" s="169" t="s">
        <v>201</v>
      </c>
      <c r="B18" s="31">
        <f>'FY 0 Worst'!N18</f>
        <v>0</v>
      </c>
      <c r="C18" s="31">
        <f>'FY 1 Worst'!N18</f>
        <v>0</v>
      </c>
      <c r="D18" s="31">
        <f>'FY 2 Worst'!N18</f>
        <v>13575</v>
      </c>
      <c r="E18" s="31">
        <f>'FY 3 Worst'!N18</f>
        <v>54300</v>
      </c>
      <c r="F18" s="31">
        <f>'FY 4 Worst'!N18</f>
        <v>122175</v>
      </c>
      <c r="G18" s="31">
        <f>'FY 5 Worst'!N18</f>
        <v>190050</v>
      </c>
      <c r="H18" s="32">
        <f t="shared" si="0"/>
        <v>380100</v>
      </c>
    </row>
    <row r="19" spans="1:8" ht="15">
      <c r="A19" s="169" t="s">
        <v>203</v>
      </c>
      <c r="B19" s="31">
        <f>'FY 0 Worst'!N19</f>
        <v>0</v>
      </c>
      <c r="C19" s="31">
        <f>'FY 1 Worst'!N19</f>
        <v>35200</v>
      </c>
      <c r="D19" s="31">
        <f>'FY 2 Worst'!N19</f>
        <v>105600</v>
      </c>
      <c r="E19" s="31">
        <f>'FY 3 Worst'!N19</f>
        <v>105600</v>
      </c>
      <c r="F19" s="31">
        <f>'FY 4 Worst'!N19</f>
        <v>105600</v>
      </c>
      <c r="G19" s="31">
        <f>'FY 5 Worst'!N19</f>
        <v>105600</v>
      </c>
      <c r="H19" s="32">
        <f t="shared" si="0"/>
        <v>457600</v>
      </c>
    </row>
    <row r="20" spans="1:8" ht="15">
      <c r="A20" s="169" t="s">
        <v>202</v>
      </c>
      <c r="B20" s="31">
        <f>'FY 0 Worst'!N20</f>
        <v>0</v>
      </c>
      <c r="C20" s="31">
        <f>'FY 1 Worst'!N20</f>
        <v>0</v>
      </c>
      <c r="D20" s="31">
        <f>'FY 2 Worst'!N20</f>
        <v>44000</v>
      </c>
      <c r="E20" s="31">
        <f>'FY 3 Worst'!N20</f>
        <v>105600</v>
      </c>
      <c r="F20" s="31">
        <f>'FY 4 Worst'!N20</f>
        <v>105600</v>
      </c>
      <c r="G20" s="31">
        <f>'FY 5 Worst'!N20</f>
        <v>105600</v>
      </c>
      <c r="H20" s="32">
        <f t="shared" si="0"/>
        <v>360800</v>
      </c>
    </row>
    <row r="21" spans="1:8" ht="15">
      <c r="A21" s="169" t="s">
        <v>286</v>
      </c>
      <c r="B21" s="31">
        <f>'FY 0 Worst'!N21</f>
        <v>132000</v>
      </c>
      <c r="C21" s="31">
        <f>'FY 1 Worst'!N21</f>
        <v>132000</v>
      </c>
      <c r="D21" s="31">
        <f>'FY 2 Worst'!N21</f>
        <v>132000</v>
      </c>
      <c r="E21" s="31">
        <f>'FY 3 Worst'!N21</f>
        <v>132000</v>
      </c>
      <c r="F21" s="31">
        <f>'FY 4 Worst'!N21</f>
        <v>132000</v>
      </c>
      <c r="G21" s="31">
        <f>'FY 5 Worst'!N21</f>
        <v>132000</v>
      </c>
      <c r="H21" s="32">
        <f t="shared" si="0"/>
        <v>792000</v>
      </c>
    </row>
    <row r="22" spans="1:8" ht="15">
      <c r="A22" s="169" t="s">
        <v>67</v>
      </c>
      <c r="B22" s="31">
        <f>'FY 0 Worst'!N22</f>
        <v>33000</v>
      </c>
      <c r="C22" s="31">
        <f>'FY 1 Worst'!N22</f>
        <v>90750</v>
      </c>
      <c r="D22" s="31">
        <f>'FY 2 Worst'!N22</f>
        <v>132000</v>
      </c>
      <c r="E22" s="31">
        <f>'FY 3 Worst'!N22</f>
        <v>132000</v>
      </c>
      <c r="F22" s="31">
        <f>'FY 4 Worst'!N22</f>
        <v>132000</v>
      </c>
      <c r="G22" s="31">
        <f>'FY 5 Worst'!N22</f>
        <v>132000</v>
      </c>
      <c r="H22" s="32">
        <f t="shared" si="0"/>
        <v>651750</v>
      </c>
    </row>
    <row r="23" spans="1:8" ht="15">
      <c r="A23" s="169" t="s">
        <v>43</v>
      </c>
      <c r="B23" s="31">
        <f>'FY 0 Worst'!N23</f>
        <v>0</v>
      </c>
      <c r="C23" s="31">
        <f>'FY 1 Worst'!N23</f>
        <v>0</v>
      </c>
      <c r="D23" s="31">
        <f>'FY 2 Worst'!N23</f>
        <v>120000</v>
      </c>
      <c r="E23" s="31">
        <f>'FY 3 Worst'!N23</f>
        <v>120000</v>
      </c>
      <c r="F23" s="31">
        <f>'FY 4 Worst'!N23</f>
        <v>120000</v>
      </c>
      <c r="G23" s="31">
        <f>'FY 5 Worst'!N23</f>
        <v>120000</v>
      </c>
      <c r="H23" s="32">
        <f t="shared" si="0"/>
        <v>480000</v>
      </c>
    </row>
    <row r="24" spans="1:8" ht="15">
      <c r="A24" s="169" t="s">
        <v>62</v>
      </c>
      <c r="B24" s="31">
        <f>'FY 0 Worst'!N24</f>
        <v>0</v>
      </c>
      <c r="C24" s="31">
        <f>'FY 1 Worst'!N24</f>
        <v>15000</v>
      </c>
      <c r="D24" s="31">
        <f>'FY 2 Worst'!N24</f>
        <v>30000</v>
      </c>
      <c r="E24" s="31">
        <f>'FY 3 Worst'!N24</f>
        <v>30000</v>
      </c>
      <c r="F24" s="31">
        <f>'FY 4 Worst'!N24</f>
        <v>30000</v>
      </c>
      <c r="G24" s="31">
        <f>'FY 5 Worst'!N24</f>
        <v>30000</v>
      </c>
      <c r="H24" s="32">
        <f t="shared" si="0"/>
        <v>135000</v>
      </c>
    </row>
    <row r="25" spans="1:8" ht="15">
      <c r="A25" s="169" t="s">
        <v>96</v>
      </c>
      <c r="B25" s="31">
        <f>'FY 0 Worst'!N25</f>
        <v>42000</v>
      </c>
      <c r="C25" s="31">
        <f>'FY 1 Worst'!N25</f>
        <v>141000</v>
      </c>
      <c r="D25" s="31">
        <f>'FY 2 Worst'!N25</f>
        <v>240000</v>
      </c>
      <c r="E25" s="31">
        <f>'FY 3 Worst'!N25</f>
        <v>480000</v>
      </c>
      <c r="F25" s="31">
        <f>'FY 4 Worst'!N25</f>
        <v>480000</v>
      </c>
      <c r="G25" s="31">
        <f>'FY 5 Worst'!N25</f>
        <v>480000</v>
      </c>
      <c r="H25" s="32">
        <f t="shared" si="0"/>
        <v>1863000</v>
      </c>
    </row>
    <row r="26" spans="1:8" ht="15">
      <c r="A26" s="169" t="s">
        <v>45</v>
      </c>
      <c r="B26" s="31">
        <f>'FY 0 Worst'!N26</f>
        <v>6000</v>
      </c>
      <c r="C26" s="31">
        <f>'FY 1 Worst'!N26</f>
        <v>24000</v>
      </c>
      <c r="D26" s="31">
        <f>'FY 2 Worst'!N26</f>
        <v>72000</v>
      </c>
      <c r="E26" s="31">
        <f>'FY 3 Worst'!N26</f>
        <v>72000</v>
      </c>
      <c r="F26" s="31">
        <f>'FY 4 Worst'!N26</f>
        <v>72000</v>
      </c>
      <c r="G26" s="31">
        <f>'FY 5 Worst'!N26</f>
        <v>72000</v>
      </c>
      <c r="H26" s="32">
        <f t="shared" si="0"/>
        <v>318000</v>
      </c>
    </row>
    <row r="27" spans="1:8" ht="15">
      <c r="A27" s="169" t="s">
        <v>46</v>
      </c>
      <c r="B27" s="31">
        <f>'FY 0 Worst'!N27</f>
        <v>3000</v>
      </c>
      <c r="C27" s="31">
        <f>'FY 1 Worst'!N27</f>
        <v>7672.21</v>
      </c>
      <c r="D27" s="31">
        <f>'FY 2 Worst'!N27</f>
        <v>13613.303999999996</v>
      </c>
      <c r="E27" s="31">
        <f>'FY 3 Worst'!N27</f>
        <v>15226.608</v>
      </c>
      <c r="F27" s="31">
        <f>'FY 4 Worst'!N27</f>
        <v>16705.470000000005</v>
      </c>
      <c r="G27" s="31">
        <f>'FY 5 Worst'!N27</f>
        <v>18990.983999999997</v>
      </c>
      <c r="H27" s="32">
        <f t="shared" si="0"/>
        <v>75208.576</v>
      </c>
    </row>
    <row r="28" spans="1:8" ht="15">
      <c r="A28" s="169" t="s">
        <v>48</v>
      </c>
      <c r="B28" s="31">
        <f>'FY 0 Worst'!N28</f>
        <v>18000</v>
      </c>
      <c r="C28" s="31">
        <f>'FY 1 Worst'!N28</f>
        <v>69000</v>
      </c>
      <c r="D28" s="31">
        <f>'FY 2 Worst'!N28</f>
        <v>120000</v>
      </c>
      <c r="E28" s="31">
        <f>'FY 3 Worst'!N28</f>
        <v>120000</v>
      </c>
      <c r="F28" s="31">
        <f>'FY 4 Worst'!N28</f>
        <v>120000</v>
      </c>
      <c r="G28" s="31">
        <f>'FY 5 Worst'!N28</f>
        <v>120000</v>
      </c>
      <c r="H28" s="32">
        <f t="shared" si="0"/>
        <v>567000</v>
      </c>
    </row>
    <row r="29" spans="1:8" ht="15">
      <c r="A29" s="169" t="s">
        <v>50</v>
      </c>
      <c r="B29" s="31">
        <f>'FY 0 Worst'!N29</f>
        <v>0</v>
      </c>
      <c r="C29" s="31">
        <f>'FY 1 Worst'!N29</f>
        <v>7500</v>
      </c>
      <c r="D29" s="31">
        <f>'FY 2 Worst'!N29</f>
        <v>18000</v>
      </c>
      <c r="E29" s="31">
        <f>'FY 3 Worst'!N29</f>
        <v>18000</v>
      </c>
      <c r="F29" s="31">
        <f>'FY 4 Worst'!N29</f>
        <v>18000</v>
      </c>
      <c r="G29" s="31">
        <f>'FY 5 Worst'!N29</f>
        <v>18000</v>
      </c>
      <c r="H29" s="32">
        <f t="shared" si="0"/>
        <v>79500</v>
      </c>
    </row>
    <row r="30" spans="1:8" ht="15">
      <c r="A30" s="169" t="s">
        <v>204</v>
      </c>
      <c r="B30" s="31">
        <f>'FY 0 Worst'!N30</f>
        <v>0</v>
      </c>
      <c r="C30" s="31">
        <f>'FY 1 Worst'!N30</f>
        <v>20004</v>
      </c>
      <c r="D30" s="31">
        <f>'FY 2 Worst'!N30</f>
        <v>20004</v>
      </c>
      <c r="E30" s="31">
        <f>'FY 3 Worst'!N30</f>
        <v>20004</v>
      </c>
      <c r="F30" s="31">
        <f>'FY 4 Worst'!N30</f>
        <v>20004</v>
      </c>
      <c r="G30" s="31">
        <f>'FY 5 Worst'!N30</f>
        <v>20004</v>
      </c>
      <c r="H30" s="32">
        <f t="shared" si="0"/>
        <v>100020</v>
      </c>
    </row>
    <row r="31" spans="1:8" ht="15">
      <c r="A31" s="169" t="s">
        <v>214</v>
      </c>
      <c r="B31" s="31">
        <f>'FY 0 Worst'!N31</f>
        <v>0</v>
      </c>
      <c r="C31" s="31">
        <f>'FY 1 Worst'!N31</f>
        <v>47436</v>
      </c>
      <c r="D31" s="31">
        <f>'FY 2 Worst'!N31</f>
        <v>95312.71613793322</v>
      </c>
      <c r="E31" s="31">
        <f>'FY 3 Worst'!N31</f>
        <v>116605.03972399724</v>
      </c>
      <c r="F31" s="31">
        <f>'FY 4 Worst'!N31</f>
        <v>147329.10480467603</v>
      </c>
      <c r="G31" s="31">
        <f>'FY 5 Worst'!N31</f>
        <v>186896.75682167994</v>
      </c>
      <c r="H31" s="32">
        <f t="shared" si="0"/>
        <v>593579.6174882865</v>
      </c>
    </row>
    <row r="32" spans="1:8" ht="15">
      <c r="A32" s="170" t="s">
        <v>59</v>
      </c>
      <c r="B32" s="31">
        <f>'FY 0 Worst'!N32</f>
        <v>0</v>
      </c>
      <c r="C32" s="31">
        <f>'FY 1 Worst'!N32</f>
        <v>23802.5</v>
      </c>
      <c r="D32" s="31">
        <f>'FY 2 Worst'!N32</f>
        <v>40806</v>
      </c>
      <c r="E32" s="31">
        <f>'FY 3 Worst'!N32</f>
        <v>40812</v>
      </c>
      <c r="F32" s="31">
        <f>'FY 4 Worst'!N32</f>
        <v>40817.5</v>
      </c>
      <c r="G32" s="31">
        <f>'FY 5 Worst'!N32</f>
        <v>40826</v>
      </c>
      <c r="H32" s="32">
        <f t="shared" si="0"/>
        <v>187064</v>
      </c>
    </row>
    <row r="33" spans="1:8" ht="15.75" thickBot="1">
      <c r="A33" s="170" t="s">
        <v>58</v>
      </c>
      <c r="B33" s="31">
        <f>'FY 0 Worst'!N33</f>
        <v>0</v>
      </c>
      <c r="C33" s="31">
        <f>'FY 1 Worst'!N33</f>
        <v>24768</v>
      </c>
      <c r="D33" s="31">
        <f>'FY 2 Worst'!N33</f>
        <v>49456.35806896661</v>
      </c>
      <c r="E33" s="31">
        <f>'FY 3 Worst'!N33</f>
        <v>60102.51986199861</v>
      </c>
      <c r="F33" s="31">
        <f>'FY 4 Worst'!N33</f>
        <v>75464.55240233801</v>
      </c>
      <c r="G33" s="31">
        <f>'FY 5 Worst'!N33</f>
        <v>95248.37841083997</v>
      </c>
      <c r="H33" s="32">
        <f t="shared" si="0"/>
        <v>305039.8087441432</v>
      </c>
    </row>
    <row r="34" spans="1:8" ht="15.75" thickBot="1">
      <c r="A34" s="171" t="s">
        <v>94</v>
      </c>
      <c r="B34" s="34">
        <f>'FY 0 Worst'!N34</f>
        <v>-295000</v>
      </c>
      <c r="C34" s="34">
        <f>'FY 1 Worst'!N34</f>
        <v>-804172.7100000002</v>
      </c>
      <c r="D34" s="34">
        <f>'FY 2 Worst'!N34</f>
        <v>-649879.4099309061</v>
      </c>
      <c r="E34" s="34">
        <f>'FY 3 Worst'!N34</f>
        <v>-68397.78414616222</v>
      </c>
      <c r="F34" s="34">
        <f>'FY 4 Worst'!N34</f>
        <v>1492175.661073547</v>
      </c>
      <c r="G34" s="34">
        <f>'FY 5 Worst'!N34</f>
        <v>3510464.2900682776</v>
      </c>
      <c r="H34" s="23">
        <f>SUM(B34:G34)</f>
        <v>3185190.047064756</v>
      </c>
    </row>
    <row r="35" ht="15">
      <c r="A35" s="209"/>
    </row>
    <row r="37" spans="1:18" ht="15">
      <c r="A37" s="247" t="s">
        <v>296</v>
      </c>
      <c r="B37" s="247"/>
      <c r="C37" s="247"/>
      <c r="D37" s="247"/>
      <c r="E37" s="247"/>
      <c r="F37" s="247"/>
      <c r="G37" s="247"/>
      <c r="H37" s="247"/>
      <c r="I37" s="179"/>
      <c r="J37" s="179"/>
      <c r="K37" s="179"/>
      <c r="L37" s="179"/>
      <c r="M37" s="179"/>
      <c r="N37" s="179"/>
      <c r="O37" s="179"/>
      <c r="P37" s="179"/>
      <c r="Q37" s="179"/>
      <c r="R37" s="179"/>
    </row>
    <row r="38" spans="1:18" ht="15">
      <c r="A38" s="247"/>
      <c r="B38" s="247"/>
      <c r="C38" s="247"/>
      <c r="D38" s="247"/>
      <c r="E38" s="247"/>
      <c r="F38" s="247"/>
      <c r="G38" s="247"/>
      <c r="H38" s="247"/>
      <c r="I38" s="179"/>
      <c r="J38" s="179"/>
      <c r="K38" s="179"/>
      <c r="L38" s="179"/>
      <c r="M38" s="179"/>
      <c r="N38" s="179"/>
      <c r="O38" s="179"/>
      <c r="P38" s="179"/>
      <c r="Q38" s="179"/>
      <c r="R38" s="179"/>
    </row>
    <row r="39" spans="1:18" ht="15">
      <c r="A39" s="247"/>
      <c r="B39" s="247"/>
      <c r="C39" s="247"/>
      <c r="D39" s="247"/>
      <c r="E39" s="247"/>
      <c r="F39" s="247"/>
      <c r="G39" s="247"/>
      <c r="H39" s="247"/>
      <c r="I39" s="179"/>
      <c r="J39" s="179"/>
      <c r="K39" s="179"/>
      <c r="L39" s="179"/>
      <c r="M39" s="179"/>
      <c r="N39" s="179"/>
      <c r="O39" s="179"/>
      <c r="P39" s="179"/>
      <c r="Q39" s="179"/>
      <c r="R39" s="179"/>
    </row>
    <row r="40" spans="1:18" ht="15">
      <c r="A40" s="247"/>
      <c r="B40" s="247"/>
      <c r="C40" s="247"/>
      <c r="D40" s="247"/>
      <c r="E40" s="247"/>
      <c r="F40" s="247"/>
      <c r="G40" s="247"/>
      <c r="H40" s="247"/>
      <c r="I40" s="179"/>
      <c r="J40" s="179"/>
      <c r="K40" s="179"/>
      <c r="L40" s="179"/>
      <c r="M40" s="179"/>
      <c r="N40" s="179"/>
      <c r="O40" s="179"/>
      <c r="P40" s="179"/>
      <c r="Q40" s="179"/>
      <c r="R40" s="179"/>
    </row>
    <row r="41" spans="1:18" ht="15">
      <c r="A41" s="247"/>
      <c r="B41" s="247"/>
      <c r="C41" s="247"/>
      <c r="D41" s="247"/>
      <c r="E41" s="247"/>
      <c r="F41" s="247"/>
      <c r="G41" s="247"/>
      <c r="H41" s="247"/>
      <c r="I41" s="179"/>
      <c r="J41" s="179"/>
      <c r="K41" s="179"/>
      <c r="L41" s="179"/>
      <c r="M41" s="179"/>
      <c r="N41" s="179"/>
      <c r="O41" s="179"/>
      <c r="P41" s="179"/>
      <c r="Q41" s="179"/>
      <c r="R41" s="179"/>
    </row>
    <row r="42" spans="1:8" ht="15">
      <c r="A42" s="247"/>
      <c r="B42" s="247"/>
      <c r="C42" s="247"/>
      <c r="D42" s="247"/>
      <c r="E42" s="247"/>
      <c r="F42" s="247"/>
      <c r="G42" s="247"/>
      <c r="H42" s="247"/>
    </row>
    <row r="43" spans="1:8" ht="15">
      <c r="A43" s="247"/>
      <c r="B43" s="247"/>
      <c r="C43" s="247"/>
      <c r="D43" s="247"/>
      <c r="E43" s="247"/>
      <c r="F43" s="247"/>
      <c r="G43" s="247"/>
      <c r="H43" s="247"/>
    </row>
    <row r="44" spans="1:8" ht="15">
      <c r="A44" s="247"/>
      <c r="B44" s="247"/>
      <c r="C44" s="247"/>
      <c r="D44" s="247"/>
      <c r="E44" s="247"/>
      <c r="F44" s="247"/>
      <c r="G44" s="247"/>
      <c r="H44" s="247"/>
    </row>
    <row r="45" spans="1:8" ht="15">
      <c r="A45" s="247"/>
      <c r="B45" s="247"/>
      <c r="C45" s="247"/>
      <c r="D45" s="247"/>
      <c r="E45" s="247"/>
      <c r="F45" s="247"/>
      <c r="G45" s="247"/>
      <c r="H45" s="247"/>
    </row>
    <row r="47" spans="2:7" ht="15">
      <c r="B47" s="248" t="s">
        <v>288</v>
      </c>
      <c r="C47" s="248"/>
      <c r="D47" s="248"/>
      <c r="E47" s="248"/>
      <c r="F47" s="248"/>
      <c r="G47" s="248"/>
    </row>
  </sheetData>
  <sheetProtection password="DC55" sheet="1" objects="1" scenarios="1" formatCells="0" formatColumns="0" formatRows="0" insertColumns="0" insertRows="0" insertHyperlinks="0" deleteColumns="0" deleteRows="0" selectLockedCells="1" sort="0"/>
  <mergeCells count="2">
    <mergeCell ref="A37:H45"/>
    <mergeCell ref="B47:G47"/>
  </mergeCells>
  <printOptions horizontalCentered="1"/>
  <pageMargins left="0.7" right="0.7" top="0.75" bottom="0.75" header="0.3" footer="0.3"/>
  <pageSetup fitToHeight="1" fitToWidth="1" horizontalDpi="600" verticalDpi="600" orientation="landscape" scale="73" r:id="rId1"/>
  <headerFooter>
    <oddHeader>&amp;C&amp;"-,Bold"&amp;24&amp;UProject Victories Project Selection Tool</oddHeader>
    <oddFooter>&amp;CCopyright The Volpe Consortium,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5"/>
  <sheetViews>
    <sheetView view="pageLayout" workbookViewId="0" topLeftCell="A1">
      <selection activeCell="A11" sqref="A11"/>
    </sheetView>
  </sheetViews>
  <sheetFormatPr defaultColWidth="9.140625" defaultRowHeight="15"/>
  <cols>
    <col min="1" max="1" width="27.57421875" style="0" customWidth="1"/>
    <col min="2" max="2" width="12.140625" style="0" customWidth="1"/>
    <col min="3" max="3" width="12.28125" style="0" customWidth="1"/>
    <col min="4" max="4" width="12.00390625" style="0" customWidth="1"/>
    <col min="5" max="5" width="12.57421875" style="0" customWidth="1"/>
    <col min="6" max="8" width="12.28125" style="0" customWidth="1"/>
    <col min="9" max="11" width="12.00390625" style="0" customWidth="1"/>
    <col min="12" max="12" width="12.140625" style="0" customWidth="1"/>
    <col min="13" max="13" width="13.28125" style="0" customWidth="1"/>
    <col min="14" max="14" width="13.421875" style="0" customWidth="1"/>
    <col min="15" max="15" width="12.57421875" style="0" bestFit="1" customWidth="1"/>
  </cols>
  <sheetData>
    <row r="1" spans="1:14" ht="15">
      <c r="A1" s="63"/>
      <c r="B1" s="101" t="s">
        <v>15</v>
      </c>
      <c r="C1" s="101" t="s">
        <v>35</v>
      </c>
      <c r="D1" s="101" t="s">
        <v>54</v>
      </c>
      <c r="E1" s="129"/>
      <c r="F1" s="129"/>
      <c r="G1" s="129"/>
      <c r="H1" s="129"/>
      <c r="I1" s="129"/>
      <c r="J1" s="129"/>
      <c r="K1" s="129"/>
      <c r="L1" s="129"/>
      <c r="M1" s="129"/>
      <c r="N1" s="130"/>
    </row>
    <row r="2" spans="1:14" ht="15">
      <c r="A2" s="169" t="s">
        <v>281</v>
      </c>
      <c r="B2" s="172">
        <f>Calcs!E22</f>
        <v>11.504463131543012</v>
      </c>
      <c r="C2" s="172">
        <f>Calcs!F22</f>
        <v>4.995536868456988</v>
      </c>
      <c r="D2" s="122">
        <f>B2+C2</f>
        <v>16.5</v>
      </c>
      <c r="E2" s="131"/>
      <c r="F2" s="131"/>
      <c r="G2" s="131"/>
      <c r="H2" s="131"/>
      <c r="I2" s="131"/>
      <c r="J2" s="131"/>
      <c r="K2" s="131"/>
      <c r="L2" s="131"/>
      <c r="M2" s="131"/>
      <c r="N2" s="132"/>
    </row>
    <row r="3" spans="1:14" ht="15">
      <c r="A3" s="169" t="s">
        <v>282</v>
      </c>
      <c r="B3" s="172">
        <f>Calcs!E23</f>
        <v>138</v>
      </c>
      <c r="C3" s="172">
        <f>Calcs!F23</f>
        <v>60</v>
      </c>
      <c r="D3" s="122">
        <f>SUM(B3:C3)</f>
        <v>198</v>
      </c>
      <c r="E3" s="131"/>
      <c r="F3" s="131"/>
      <c r="G3" s="131"/>
      <c r="H3" s="131"/>
      <c r="I3" s="131"/>
      <c r="J3" s="131"/>
      <c r="K3" s="131"/>
      <c r="L3" s="131"/>
      <c r="M3" s="131"/>
      <c r="N3" s="132"/>
    </row>
    <row r="4" spans="1:14" ht="15">
      <c r="A4" s="169" t="s">
        <v>283</v>
      </c>
      <c r="B4" s="173">
        <f>B5/600</f>
        <v>0</v>
      </c>
      <c r="C4" s="173">
        <f aca="true" t="shared" si="0" ref="C4:M4">C5/600</f>
        <v>0</v>
      </c>
      <c r="D4" s="173">
        <f t="shared" si="0"/>
        <v>0</v>
      </c>
      <c r="E4" s="173">
        <f t="shared" si="0"/>
        <v>0</v>
      </c>
      <c r="F4" s="173">
        <f t="shared" si="0"/>
        <v>0</v>
      </c>
      <c r="G4" s="173">
        <f t="shared" si="0"/>
        <v>0</v>
      </c>
      <c r="H4" s="173">
        <f t="shared" si="0"/>
        <v>0</v>
      </c>
      <c r="I4" s="173">
        <f t="shared" si="0"/>
        <v>0</v>
      </c>
      <c r="J4" s="173">
        <f t="shared" si="0"/>
        <v>0</v>
      </c>
      <c r="K4" s="173">
        <f t="shared" si="0"/>
        <v>0</v>
      </c>
      <c r="L4" s="173">
        <f t="shared" si="0"/>
        <v>0</v>
      </c>
      <c r="M4" s="173">
        <f t="shared" si="0"/>
        <v>0</v>
      </c>
      <c r="N4" s="75"/>
    </row>
    <row r="5" spans="1:14" ht="15">
      <c r="A5" s="169" t="s">
        <v>284</v>
      </c>
      <c r="B5" s="173">
        <v>0</v>
      </c>
      <c r="C5" s="173">
        <v>0</v>
      </c>
      <c r="D5" s="173">
        <v>0</v>
      </c>
      <c r="E5" s="173">
        <v>0</v>
      </c>
      <c r="F5" s="173">
        <v>0</v>
      </c>
      <c r="G5" s="173">
        <v>0</v>
      </c>
      <c r="H5" s="173">
        <v>0</v>
      </c>
      <c r="I5" s="173">
        <v>0</v>
      </c>
      <c r="J5" s="173">
        <v>0</v>
      </c>
      <c r="K5" s="173">
        <v>0</v>
      </c>
      <c r="L5" s="173">
        <v>0</v>
      </c>
      <c r="M5" s="173">
        <v>0</v>
      </c>
      <c r="N5" s="127">
        <f>SUM(B5:M5)</f>
        <v>0</v>
      </c>
    </row>
    <row r="6" spans="1:14" ht="15">
      <c r="A6" s="169" t="s">
        <v>57</v>
      </c>
      <c r="B6" s="174">
        <v>1</v>
      </c>
      <c r="C6" s="174">
        <v>2</v>
      </c>
      <c r="D6" s="174">
        <v>3</v>
      </c>
      <c r="E6" s="174">
        <v>4</v>
      </c>
      <c r="F6" s="174">
        <v>5</v>
      </c>
      <c r="G6" s="174">
        <v>6</v>
      </c>
      <c r="H6" s="174">
        <v>7</v>
      </c>
      <c r="I6" s="174">
        <v>8</v>
      </c>
      <c r="J6" s="174">
        <v>9</v>
      </c>
      <c r="K6" s="174">
        <v>10</v>
      </c>
      <c r="L6" s="174">
        <v>11</v>
      </c>
      <c r="M6" s="174">
        <v>12</v>
      </c>
      <c r="N6" s="75"/>
    </row>
    <row r="7" spans="1:15" ht="15">
      <c r="A7" s="169" t="s">
        <v>55</v>
      </c>
      <c r="B7" s="21">
        <f>B5*$D$3</f>
        <v>0</v>
      </c>
      <c r="C7" s="21">
        <f aca="true" t="shared" si="1" ref="C7:M7">C5*$D$3</f>
        <v>0</v>
      </c>
      <c r="D7" s="21">
        <f t="shared" si="1"/>
        <v>0</v>
      </c>
      <c r="E7" s="21">
        <f t="shared" si="1"/>
        <v>0</v>
      </c>
      <c r="F7" s="21">
        <f t="shared" si="1"/>
        <v>0</v>
      </c>
      <c r="G7" s="21">
        <f t="shared" si="1"/>
        <v>0</v>
      </c>
      <c r="H7" s="21">
        <f t="shared" si="1"/>
        <v>0</v>
      </c>
      <c r="I7" s="21">
        <f t="shared" si="1"/>
        <v>0</v>
      </c>
      <c r="J7" s="21">
        <f t="shared" si="1"/>
        <v>0</v>
      </c>
      <c r="K7" s="21">
        <f t="shared" si="1"/>
        <v>0</v>
      </c>
      <c r="L7" s="21">
        <f t="shared" si="1"/>
        <v>0</v>
      </c>
      <c r="M7" s="21">
        <f t="shared" si="1"/>
        <v>0</v>
      </c>
      <c r="N7" s="58">
        <f>SUM(B7:M7)</f>
        <v>0</v>
      </c>
      <c r="O7" s="2"/>
    </row>
    <row r="8" spans="1:14" ht="15">
      <c r="A8" s="133"/>
      <c r="B8" s="124"/>
      <c r="C8" s="124"/>
      <c r="D8" s="124"/>
      <c r="E8" s="124"/>
      <c r="F8" s="124"/>
      <c r="G8" s="124"/>
      <c r="H8" s="124"/>
      <c r="I8" s="124"/>
      <c r="J8" s="124"/>
      <c r="K8" s="124"/>
      <c r="L8" s="124"/>
      <c r="M8" s="124"/>
      <c r="N8" s="128"/>
    </row>
    <row r="9" spans="1:14" ht="15">
      <c r="A9" s="169" t="s">
        <v>56</v>
      </c>
      <c r="B9" s="21">
        <f>B5*$B$3</f>
        <v>0</v>
      </c>
      <c r="C9" s="21">
        <f aca="true" t="shared" si="2" ref="C9:M9">C5*$B$3</f>
        <v>0</v>
      </c>
      <c r="D9" s="21">
        <f t="shared" si="2"/>
        <v>0</v>
      </c>
      <c r="E9" s="21">
        <f t="shared" si="2"/>
        <v>0</v>
      </c>
      <c r="F9" s="21">
        <f t="shared" si="2"/>
        <v>0</v>
      </c>
      <c r="G9" s="21">
        <f t="shared" si="2"/>
        <v>0</v>
      </c>
      <c r="H9" s="21">
        <f t="shared" si="2"/>
        <v>0</v>
      </c>
      <c r="I9" s="21">
        <f t="shared" si="2"/>
        <v>0</v>
      </c>
      <c r="J9" s="21">
        <f t="shared" si="2"/>
        <v>0</v>
      </c>
      <c r="K9" s="21">
        <f t="shared" si="2"/>
        <v>0</v>
      </c>
      <c r="L9" s="21">
        <f t="shared" si="2"/>
        <v>0</v>
      </c>
      <c r="M9" s="21">
        <f t="shared" si="2"/>
        <v>0</v>
      </c>
      <c r="N9" s="58">
        <f>SUM(B9:M9)</f>
        <v>0</v>
      </c>
    </row>
    <row r="10" spans="1:14" ht="15">
      <c r="A10" s="169" t="s">
        <v>215</v>
      </c>
      <c r="B10" s="175">
        <v>25000</v>
      </c>
      <c r="C10" s="175"/>
      <c r="D10" s="175"/>
      <c r="E10" s="175"/>
      <c r="F10" s="175"/>
      <c r="G10" s="175"/>
      <c r="H10" s="175"/>
      <c r="I10" s="175"/>
      <c r="J10" s="175"/>
      <c r="K10" s="175"/>
      <c r="L10" s="175"/>
      <c r="M10" s="175"/>
      <c r="N10" s="58">
        <f>SUM(B10:M10)</f>
        <v>25000</v>
      </c>
    </row>
    <row r="11" spans="1:14" ht="15">
      <c r="A11" s="169" t="s">
        <v>194</v>
      </c>
      <c r="B11" s="175">
        <v>0</v>
      </c>
      <c r="C11" s="175">
        <v>0</v>
      </c>
      <c r="D11" s="175">
        <v>0</v>
      </c>
      <c r="E11" s="175">
        <v>0</v>
      </c>
      <c r="F11" s="175">
        <v>0</v>
      </c>
      <c r="G11" s="175">
        <v>0</v>
      </c>
      <c r="H11" s="175">
        <v>0</v>
      </c>
      <c r="I11" s="175">
        <v>0</v>
      </c>
      <c r="J11" s="175">
        <v>0</v>
      </c>
      <c r="K11" s="175">
        <v>0</v>
      </c>
      <c r="L11" s="175">
        <v>0</v>
      </c>
      <c r="M11" s="175">
        <v>200000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3000</v>
      </c>
      <c r="G13" s="175">
        <v>3000</v>
      </c>
      <c r="H13" s="175">
        <v>3000</v>
      </c>
      <c r="I13" s="175">
        <v>3000</v>
      </c>
      <c r="J13" s="175">
        <v>3000</v>
      </c>
      <c r="K13" s="175">
        <v>3000</v>
      </c>
      <c r="L13" s="175">
        <v>3000</v>
      </c>
      <c r="M13" s="175">
        <v>3000</v>
      </c>
      <c r="N13" s="58">
        <f aca="true" t="shared" si="3" ref="N13:N32">SUM(B13:M13)</f>
        <v>36000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0</v>
      </c>
      <c r="C15" s="175">
        <v>0</v>
      </c>
      <c r="D15" s="175">
        <v>0</v>
      </c>
      <c r="E15" s="175">
        <v>0</v>
      </c>
      <c r="F15" s="175">
        <v>0</v>
      </c>
      <c r="G15" s="175">
        <v>0</v>
      </c>
      <c r="H15" s="175">
        <v>0</v>
      </c>
      <c r="I15" s="175">
        <v>0</v>
      </c>
      <c r="J15" s="175">
        <v>0</v>
      </c>
      <c r="K15" s="175">
        <v>0</v>
      </c>
      <c r="L15" s="175">
        <v>0</v>
      </c>
      <c r="M15" s="175">
        <v>0</v>
      </c>
      <c r="N15" s="58">
        <f t="shared" si="3"/>
        <v>0</v>
      </c>
    </row>
    <row r="16" spans="1:14" ht="15">
      <c r="A16" s="169" t="s">
        <v>199</v>
      </c>
      <c r="B16" s="175">
        <v>0</v>
      </c>
      <c r="C16" s="175">
        <v>0</v>
      </c>
      <c r="D16" s="175">
        <v>0</v>
      </c>
      <c r="E16" s="175">
        <v>0</v>
      </c>
      <c r="F16" s="175">
        <v>0</v>
      </c>
      <c r="G16" s="175">
        <v>0</v>
      </c>
      <c r="H16" s="175">
        <v>0</v>
      </c>
      <c r="I16" s="175">
        <v>0</v>
      </c>
      <c r="J16" s="175">
        <v>0</v>
      </c>
      <c r="K16" s="175">
        <v>0</v>
      </c>
      <c r="L16" s="175">
        <v>0</v>
      </c>
      <c r="M16" s="175">
        <v>0</v>
      </c>
      <c r="N16" s="58">
        <f t="shared" si="3"/>
        <v>0</v>
      </c>
    </row>
    <row r="17" spans="1:14" ht="15">
      <c r="A17" s="169" t="s">
        <v>200</v>
      </c>
      <c r="B17" s="175">
        <v>0</v>
      </c>
      <c r="C17" s="175">
        <v>0</v>
      </c>
      <c r="D17" s="175">
        <v>0</v>
      </c>
      <c r="E17" s="175">
        <v>0</v>
      </c>
      <c r="F17" s="175">
        <v>0</v>
      </c>
      <c r="G17" s="175">
        <v>0</v>
      </c>
      <c r="H17" s="175">
        <v>0</v>
      </c>
      <c r="I17" s="175">
        <v>0</v>
      </c>
      <c r="J17" s="175">
        <v>0</v>
      </c>
      <c r="K17" s="175">
        <v>0</v>
      </c>
      <c r="L17" s="175">
        <v>0</v>
      </c>
      <c r="M17" s="175">
        <v>0</v>
      </c>
      <c r="N17" s="58">
        <f t="shared" si="3"/>
        <v>0</v>
      </c>
    </row>
    <row r="18" spans="1:14" ht="15">
      <c r="A18" s="169" t="s">
        <v>201</v>
      </c>
      <c r="B18" s="175">
        <v>0</v>
      </c>
      <c r="C18" s="175">
        <v>0</v>
      </c>
      <c r="D18" s="175">
        <v>0</v>
      </c>
      <c r="E18" s="175">
        <v>0</v>
      </c>
      <c r="F18" s="175">
        <v>0</v>
      </c>
      <c r="G18" s="175">
        <v>0</v>
      </c>
      <c r="H18" s="175">
        <v>0</v>
      </c>
      <c r="I18" s="175">
        <v>0</v>
      </c>
      <c r="J18" s="175">
        <v>0</v>
      </c>
      <c r="K18" s="175">
        <v>0</v>
      </c>
      <c r="L18" s="175">
        <v>0</v>
      </c>
      <c r="M18" s="175">
        <v>0</v>
      </c>
      <c r="N18" s="58">
        <f t="shared" si="3"/>
        <v>0</v>
      </c>
    </row>
    <row r="19" spans="1:14" ht="15">
      <c r="A19" s="169" t="s">
        <v>203</v>
      </c>
      <c r="B19" s="175">
        <v>0</v>
      </c>
      <c r="C19" s="175">
        <v>0</v>
      </c>
      <c r="D19" s="175">
        <v>0</v>
      </c>
      <c r="E19" s="175">
        <v>0</v>
      </c>
      <c r="F19" s="175">
        <v>0</v>
      </c>
      <c r="G19" s="175">
        <v>0</v>
      </c>
      <c r="H19" s="175">
        <v>0</v>
      </c>
      <c r="I19" s="175">
        <v>0</v>
      </c>
      <c r="J19" s="175">
        <v>0</v>
      </c>
      <c r="K19" s="175">
        <v>0</v>
      </c>
      <c r="L19" s="175">
        <v>0</v>
      </c>
      <c r="M19" s="175">
        <v>0</v>
      </c>
      <c r="N19" s="58">
        <f>SUM(B19:M19)</f>
        <v>0</v>
      </c>
    </row>
    <row r="20" spans="1:14" ht="15">
      <c r="A20" s="169" t="s">
        <v>202</v>
      </c>
      <c r="B20" s="175">
        <v>0</v>
      </c>
      <c r="C20" s="175">
        <v>0</v>
      </c>
      <c r="D20" s="175">
        <v>0</v>
      </c>
      <c r="E20" s="175">
        <v>0</v>
      </c>
      <c r="F20" s="175">
        <v>0</v>
      </c>
      <c r="G20" s="175">
        <v>0</v>
      </c>
      <c r="H20" s="175">
        <v>0</v>
      </c>
      <c r="I20" s="175">
        <v>0</v>
      </c>
      <c r="J20" s="175">
        <v>0</v>
      </c>
      <c r="K20" s="175">
        <v>0</v>
      </c>
      <c r="L20" s="175">
        <v>0</v>
      </c>
      <c r="M20" s="175">
        <v>0</v>
      </c>
      <c r="N20" s="58">
        <f>SUM(B20:M20)</f>
        <v>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2750</v>
      </c>
      <c r="C22" s="175">
        <v>2750</v>
      </c>
      <c r="D22" s="175">
        <v>2750</v>
      </c>
      <c r="E22" s="175">
        <v>2750</v>
      </c>
      <c r="F22" s="175">
        <v>2750</v>
      </c>
      <c r="G22" s="175">
        <v>2750</v>
      </c>
      <c r="H22" s="175">
        <v>2750</v>
      </c>
      <c r="I22" s="175">
        <v>2750</v>
      </c>
      <c r="J22" s="175">
        <v>2750</v>
      </c>
      <c r="K22" s="175">
        <v>2750</v>
      </c>
      <c r="L22" s="175">
        <v>2750</v>
      </c>
      <c r="M22" s="175">
        <v>2750</v>
      </c>
      <c r="N22" s="58">
        <f>SUM(B22:M22)</f>
        <v>33000</v>
      </c>
    </row>
    <row r="23" spans="1:14" ht="15">
      <c r="A23" s="169" t="s">
        <v>43</v>
      </c>
      <c r="B23" s="175">
        <v>0</v>
      </c>
      <c r="C23" s="175">
        <v>0</v>
      </c>
      <c r="D23" s="175">
        <v>0</v>
      </c>
      <c r="E23" s="175">
        <v>0</v>
      </c>
      <c r="F23" s="175">
        <v>0</v>
      </c>
      <c r="G23" s="175">
        <v>0</v>
      </c>
      <c r="H23" s="175">
        <v>0</v>
      </c>
      <c r="I23" s="175">
        <v>0</v>
      </c>
      <c r="J23" s="175">
        <v>0</v>
      </c>
      <c r="K23" s="175">
        <v>0</v>
      </c>
      <c r="L23" s="175">
        <v>0</v>
      </c>
      <c r="M23" s="175">
        <v>0</v>
      </c>
      <c r="N23" s="58">
        <f t="shared" si="3"/>
        <v>0</v>
      </c>
    </row>
    <row r="24" spans="1:14" ht="15">
      <c r="A24" s="169" t="s">
        <v>62</v>
      </c>
      <c r="B24" s="175">
        <v>0</v>
      </c>
      <c r="C24" s="175">
        <v>0</v>
      </c>
      <c r="D24" s="175">
        <v>0</v>
      </c>
      <c r="E24" s="175">
        <v>0</v>
      </c>
      <c r="F24" s="175">
        <v>0</v>
      </c>
      <c r="G24" s="175">
        <v>0</v>
      </c>
      <c r="H24" s="175">
        <v>0</v>
      </c>
      <c r="I24" s="175">
        <v>0</v>
      </c>
      <c r="J24" s="175">
        <v>0</v>
      </c>
      <c r="K24" s="175">
        <v>0</v>
      </c>
      <c r="L24" s="175">
        <v>0</v>
      </c>
      <c r="M24" s="175">
        <v>0</v>
      </c>
      <c r="N24" s="58">
        <f t="shared" si="3"/>
        <v>0</v>
      </c>
    </row>
    <row r="25" spans="1:14" ht="15">
      <c r="A25" s="169" t="s">
        <v>96</v>
      </c>
      <c r="B25" s="175">
        <v>3500</v>
      </c>
      <c r="C25" s="175">
        <v>3500</v>
      </c>
      <c r="D25" s="175">
        <v>3500</v>
      </c>
      <c r="E25" s="175">
        <v>3500</v>
      </c>
      <c r="F25" s="175">
        <v>3500</v>
      </c>
      <c r="G25" s="175">
        <v>3500</v>
      </c>
      <c r="H25" s="175">
        <v>3500</v>
      </c>
      <c r="I25" s="175">
        <v>3500</v>
      </c>
      <c r="J25" s="175">
        <v>3500</v>
      </c>
      <c r="K25" s="175">
        <v>3500</v>
      </c>
      <c r="L25" s="175">
        <v>3500</v>
      </c>
      <c r="M25" s="175">
        <v>3500</v>
      </c>
      <c r="N25" s="58">
        <f t="shared" si="3"/>
        <v>42000</v>
      </c>
    </row>
    <row r="26" spans="1:14" ht="15">
      <c r="A26" s="169" t="s">
        <v>45</v>
      </c>
      <c r="B26" s="175">
        <v>500</v>
      </c>
      <c r="C26" s="175">
        <v>500</v>
      </c>
      <c r="D26" s="175">
        <v>500</v>
      </c>
      <c r="E26" s="175">
        <v>500</v>
      </c>
      <c r="F26" s="175">
        <v>500</v>
      </c>
      <c r="G26" s="175">
        <v>500</v>
      </c>
      <c r="H26" s="175">
        <v>500</v>
      </c>
      <c r="I26" s="175">
        <v>500</v>
      </c>
      <c r="J26" s="175">
        <v>500</v>
      </c>
      <c r="K26" s="175">
        <v>500</v>
      </c>
      <c r="L26" s="175">
        <v>500</v>
      </c>
      <c r="M26" s="175">
        <v>500</v>
      </c>
      <c r="N26" s="58">
        <f t="shared" si="3"/>
        <v>6000</v>
      </c>
    </row>
    <row r="27" spans="1:14" ht="15">
      <c r="A27" s="169" t="s">
        <v>46</v>
      </c>
      <c r="B27" s="175">
        <v>250</v>
      </c>
      <c r="C27" s="175">
        <v>250</v>
      </c>
      <c r="D27" s="175">
        <v>250</v>
      </c>
      <c r="E27" s="175">
        <v>250</v>
      </c>
      <c r="F27" s="175">
        <v>250</v>
      </c>
      <c r="G27" s="175">
        <v>250</v>
      </c>
      <c r="H27" s="175">
        <v>250</v>
      </c>
      <c r="I27" s="175">
        <v>250</v>
      </c>
      <c r="J27" s="175">
        <v>250</v>
      </c>
      <c r="K27" s="175">
        <v>250</v>
      </c>
      <c r="L27" s="175">
        <v>250</v>
      </c>
      <c r="M27" s="175">
        <v>250</v>
      </c>
      <c r="N27" s="58">
        <f t="shared" si="3"/>
        <v>3000</v>
      </c>
    </row>
    <row r="28" spans="1:14" ht="15">
      <c r="A28" s="169" t="s">
        <v>48</v>
      </c>
      <c r="B28" s="175">
        <v>1500</v>
      </c>
      <c r="C28" s="175">
        <v>1500</v>
      </c>
      <c r="D28" s="175">
        <v>1500</v>
      </c>
      <c r="E28" s="175">
        <v>1500</v>
      </c>
      <c r="F28" s="175">
        <v>1500</v>
      </c>
      <c r="G28" s="175">
        <v>1500</v>
      </c>
      <c r="H28" s="175">
        <v>1500</v>
      </c>
      <c r="I28" s="175">
        <v>1500</v>
      </c>
      <c r="J28" s="175">
        <v>1500</v>
      </c>
      <c r="K28" s="175">
        <v>1500</v>
      </c>
      <c r="L28" s="175">
        <v>1500</v>
      </c>
      <c r="M28" s="175">
        <v>1500</v>
      </c>
      <c r="N28" s="58">
        <f t="shared" si="3"/>
        <v>18000</v>
      </c>
    </row>
    <row r="29" spans="1:14" ht="15">
      <c r="A29" s="169" t="s">
        <v>50</v>
      </c>
      <c r="B29" s="175">
        <v>0</v>
      </c>
      <c r="C29" s="175">
        <v>0</v>
      </c>
      <c r="D29" s="175">
        <v>0</v>
      </c>
      <c r="E29" s="175">
        <v>0</v>
      </c>
      <c r="F29" s="175">
        <v>0</v>
      </c>
      <c r="G29" s="175">
        <v>0</v>
      </c>
      <c r="H29" s="175">
        <v>0</v>
      </c>
      <c r="I29" s="175">
        <v>0</v>
      </c>
      <c r="J29" s="175">
        <v>0</v>
      </c>
      <c r="K29" s="175">
        <v>0</v>
      </c>
      <c r="L29" s="175">
        <v>0</v>
      </c>
      <c r="M29" s="175">
        <v>0</v>
      </c>
      <c r="N29" s="58">
        <f t="shared" si="3"/>
        <v>0</v>
      </c>
    </row>
    <row r="30" spans="1:14" ht="15">
      <c r="A30" s="169" t="s">
        <v>204</v>
      </c>
      <c r="B30" s="175"/>
      <c r="C30" s="175"/>
      <c r="D30" s="175"/>
      <c r="E30" s="175"/>
      <c r="F30" s="175"/>
      <c r="G30" s="175"/>
      <c r="H30" s="175"/>
      <c r="I30" s="175"/>
      <c r="J30" s="175"/>
      <c r="K30" s="175"/>
      <c r="L30" s="175"/>
      <c r="M30" s="175"/>
      <c r="N30" s="58">
        <f t="shared" si="3"/>
        <v>0</v>
      </c>
    </row>
    <row r="31" spans="1:14" ht="15">
      <c r="A31" s="169" t="s">
        <v>214</v>
      </c>
      <c r="B31" s="175">
        <v>0</v>
      </c>
      <c r="C31" s="175">
        <v>0</v>
      </c>
      <c r="D31" s="175">
        <v>0</v>
      </c>
      <c r="E31" s="175">
        <v>0</v>
      </c>
      <c r="F31" s="175">
        <v>0</v>
      </c>
      <c r="G31" s="175">
        <v>0</v>
      </c>
      <c r="H31" s="175">
        <v>0</v>
      </c>
      <c r="I31" s="175">
        <v>0</v>
      </c>
      <c r="J31" s="175">
        <v>0</v>
      </c>
      <c r="K31" s="175">
        <v>0</v>
      </c>
      <c r="L31" s="175">
        <v>0</v>
      </c>
      <c r="M31" s="175">
        <v>0</v>
      </c>
      <c r="N31" s="58">
        <f t="shared" si="3"/>
        <v>0</v>
      </c>
    </row>
    <row r="32" spans="1:14" ht="15">
      <c r="A32" s="170" t="s">
        <v>59</v>
      </c>
      <c r="B32" s="176">
        <v>0</v>
      </c>
      <c r="C32" s="176">
        <v>0</v>
      </c>
      <c r="D32" s="176">
        <v>0</v>
      </c>
      <c r="E32" s="176">
        <v>0</v>
      </c>
      <c r="F32" s="176">
        <v>0</v>
      </c>
      <c r="G32" s="176">
        <v>0</v>
      </c>
      <c r="H32" s="176">
        <v>0</v>
      </c>
      <c r="I32" s="176">
        <v>0</v>
      </c>
      <c r="J32" s="176">
        <v>0</v>
      </c>
      <c r="K32" s="176">
        <v>0</v>
      </c>
      <c r="L32" s="176">
        <v>0</v>
      </c>
      <c r="M32" s="176">
        <v>0</v>
      </c>
      <c r="N32" s="58">
        <f t="shared" si="3"/>
        <v>0</v>
      </c>
    </row>
    <row r="33" spans="1:14" ht="15.75" thickBot="1">
      <c r="A33" s="170" t="s">
        <v>58</v>
      </c>
      <c r="B33" s="176">
        <v>0</v>
      </c>
      <c r="C33" s="176">
        <v>0</v>
      </c>
      <c r="D33" s="176">
        <v>0</v>
      </c>
      <c r="E33" s="176">
        <v>0</v>
      </c>
      <c r="F33" s="176">
        <v>0</v>
      </c>
      <c r="G33" s="176">
        <v>0</v>
      </c>
      <c r="H33" s="176">
        <v>0</v>
      </c>
      <c r="I33" s="176">
        <v>0</v>
      </c>
      <c r="J33" s="176">
        <v>0</v>
      </c>
      <c r="K33" s="176">
        <v>0</v>
      </c>
      <c r="L33" s="176">
        <v>0</v>
      </c>
      <c r="M33" s="176">
        <v>0</v>
      </c>
      <c r="N33" s="35">
        <f>SUM(B33:M33)</f>
        <v>0</v>
      </c>
    </row>
    <row r="34" spans="1:14" ht="15.75" thickBot="1">
      <c r="A34" s="171" t="s">
        <v>94</v>
      </c>
      <c r="B34" s="22">
        <f aca="true" t="shared" si="4" ref="B34:M34">B7-SUM(B9:B33)</f>
        <v>-47500</v>
      </c>
      <c r="C34" s="22">
        <f t="shared" si="4"/>
        <v>-22500</v>
      </c>
      <c r="D34" s="22">
        <f t="shared" si="4"/>
        <v>-22500</v>
      </c>
      <c r="E34" s="22">
        <f t="shared" si="4"/>
        <v>-22500</v>
      </c>
      <c r="F34" s="22">
        <f t="shared" si="4"/>
        <v>-22500</v>
      </c>
      <c r="G34" s="22">
        <f t="shared" si="4"/>
        <v>-22500</v>
      </c>
      <c r="H34" s="22">
        <f t="shared" si="4"/>
        <v>-22500</v>
      </c>
      <c r="I34" s="22">
        <f t="shared" si="4"/>
        <v>-22500</v>
      </c>
      <c r="J34" s="22">
        <f t="shared" si="4"/>
        <v>-22500</v>
      </c>
      <c r="K34" s="22">
        <f t="shared" si="4"/>
        <v>-22500</v>
      </c>
      <c r="L34" s="22">
        <f t="shared" si="4"/>
        <v>-22500</v>
      </c>
      <c r="M34" s="22">
        <f t="shared" si="4"/>
        <v>-222500</v>
      </c>
      <c r="N34" s="23">
        <f>SUM(B34:M34)</f>
        <v>-495000</v>
      </c>
    </row>
    <row r="36" spans="1:14" ht="15">
      <c r="A36" s="18"/>
      <c r="B36" s="18"/>
      <c r="C36" s="18"/>
      <c r="D36" s="18"/>
      <c r="E36" s="18"/>
      <c r="F36" s="18"/>
      <c r="G36" s="18"/>
      <c r="H36" s="18"/>
      <c r="I36" s="18"/>
      <c r="J36" s="18"/>
      <c r="K36" s="18"/>
      <c r="L36" s="18"/>
      <c r="M36" s="18"/>
      <c r="N36" s="18"/>
    </row>
    <row r="37" spans="1:14" ht="15">
      <c r="A37" s="247" t="s">
        <v>287</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3" spans="1:14" ht="15">
      <c r="A43" s="247"/>
      <c r="B43" s="247"/>
      <c r="C43" s="247"/>
      <c r="D43" s="247"/>
      <c r="E43" s="247"/>
      <c r="F43" s="247"/>
      <c r="G43" s="247"/>
      <c r="H43" s="247"/>
      <c r="I43" s="247"/>
      <c r="J43" s="247"/>
      <c r="K43" s="247"/>
      <c r="L43" s="247"/>
      <c r="M43" s="247"/>
      <c r="N43" s="247"/>
    </row>
    <row r="45" spans="2:7" ht="15">
      <c r="B45" s="250" t="s">
        <v>288</v>
      </c>
      <c r="C45" s="250"/>
      <c r="D45" s="250"/>
      <c r="E45" s="250"/>
      <c r="F45" s="251"/>
      <c r="G45" s="251"/>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11" right="0.12" top="0.75" bottom="0.75" header="0.3" footer="0.3"/>
  <pageSetup fitToHeight="1" fitToWidth="1" horizontalDpi="600" verticalDpi="600" orientation="landscape" scale="68" r:id="rId1"/>
  <headerFooter>
    <oddHeader>&amp;C&amp;"-,Bold"&amp;36&amp;UProject Victories Project Selection Tool</oddHeader>
    <oddFooter>&amp;CCopyright The Volpe Consortium,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5"/>
  <sheetViews>
    <sheetView view="pageLayout" workbookViewId="0" topLeftCell="A1">
      <selection activeCell="C6" sqref="C6"/>
    </sheetView>
  </sheetViews>
  <sheetFormatPr defaultColWidth="9.140625" defaultRowHeight="15"/>
  <cols>
    <col min="1" max="1" width="28.140625" style="0" bestFit="1" customWidth="1"/>
    <col min="2" max="10" width="13.421875" style="0" bestFit="1" customWidth="1"/>
    <col min="11" max="11" width="13.00390625" style="0" customWidth="1"/>
    <col min="12" max="12" width="13.28125" style="0" customWidth="1"/>
    <col min="13" max="13" width="14.28125" style="0" bestFit="1" customWidth="1"/>
    <col min="14" max="14" width="15.00390625" style="0" bestFit="1" customWidth="1"/>
    <col min="15" max="15" width="12.57421875" style="0" bestFit="1" customWidth="1"/>
  </cols>
  <sheetData>
    <row r="1" spans="1:15" ht="15">
      <c r="A1" s="57"/>
      <c r="B1" s="101" t="s">
        <v>15</v>
      </c>
      <c r="C1" s="101" t="s">
        <v>35</v>
      </c>
      <c r="D1" s="101" t="s">
        <v>54</v>
      </c>
      <c r="E1" s="125"/>
      <c r="F1" s="125"/>
      <c r="G1" s="125"/>
      <c r="H1" s="125"/>
      <c r="I1" s="125"/>
      <c r="J1" s="125"/>
      <c r="K1" s="125"/>
      <c r="L1" s="125"/>
      <c r="M1" s="125"/>
      <c r="N1" s="126"/>
      <c r="O1" s="121"/>
    </row>
    <row r="2" spans="1:15" ht="15">
      <c r="A2" s="169" t="s">
        <v>281</v>
      </c>
      <c r="B2" s="172">
        <f>Calcs!E22</f>
        <v>11.504463131543012</v>
      </c>
      <c r="C2" s="172">
        <f>Calcs!F22</f>
        <v>4.995536868456988</v>
      </c>
      <c r="D2" s="122">
        <f>B2+C2</f>
        <v>16.5</v>
      </c>
      <c r="E2" s="74"/>
      <c r="F2" s="74"/>
      <c r="G2" s="74"/>
      <c r="H2" s="74"/>
      <c r="I2" s="74"/>
      <c r="J2" s="74"/>
      <c r="K2" s="74"/>
      <c r="L2" s="74"/>
      <c r="M2" s="74"/>
      <c r="N2" s="75"/>
      <c r="O2" s="121"/>
    </row>
    <row r="3" spans="1:15" ht="15">
      <c r="A3" s="169" t="s">
        <v>282</v>
      </c>
      <c r="B3" s="172">
        <f>Calcs!E23</f>
        <v>138</v>
      </c>
      <c r="C3" s="172">
        <f>Calcs!F23</f>
        <v>60</v>
      </c>
      <c r="D3" s="122">
        <f>SUM(B3:C3)</f>
        <v>198</v>
      </c>
      <c r="E3" s="74"/>
      <c r="F3" s="74"/>
      <c r="G3" s="74"/>
      <c r="H3" s="74"/>
      <c r="I3" s="74"/>
      <c r="J3" s="74"/>
      <c r="K3" s="74"/>
      <c r="L3" s="74"/>
      <c r="M3" s="74"/>
      <c r="N3" s="75"/>
      <c r="O3" s="121"/>
    </row>
    <row r="4" spans="1:15" ht="15">
      <c r="A4" s="169" t="s">
        <v>283</v>
      </c>
      <c r="B4" s="173">
        <f>B5/600</f>
        <v>0</v>
      </c>
      <c r="C4" s="173">
        <f>C5/600</f>
        <v>0</v>
      </c>
      <c r="D4" s="173">
        <f>D5/600</f>
        <v>0</v>
      </c>
      <c r="E4" s="177">
        <f>INT(E5/Calcs!$B$21)+1</f>
        <v>1</v>
      </c>
      <c r="F4" s="177">
        <f>INT(F5/Calcs!$B$21)+1</f>
        <v>1</v>
      </c>
      <c r="G4" s="177">
        <f>INT(G5/Calcs!$B$21)+1</f>
        <v>1</v>
      </c>
      <c r="H4" s="177">
        <f>INT(H5/Calcs!$B$21)+1</f>
        <v>1</v>
      </c>
      <c r="I4" s="177">
        <f>INT(I5/Calcs!$B$21)+1</f>
        <v>1</v>
      </c>
      <c r="J4" s="177">
        <f>INT(J5/Calcs!$B$21)+1</f>
        <v>1</v>
      </c>
      <c r="K4" s="177">
        <f>INT(K5/Calcs!$B$21)+1</f>
        <v>1</v>
      </c>
      <c r="L4" s="177">
        <f>INT(L5/Calcs!$B$21)+1</f>
        <v>1</v>
      </c>
      <c r="M4" s="177">
        <f>INT(M5/Calcs!$B$21)+1</f>
        <v>1</v>
      </c>
      <c r="N4" s="75"/>
      <c r="O4" s="121"/>
    </row>
    <row r="5" spans="1:15" ht="15">
      <c r="A5" s="169" t="s">
        <v>284</v>
      </c>
      <c r="B5" s="173">
        <v>0</v>
      </c>
      <c r="C5" s="173">
        <v>0</v>
      </c>
      <c r="D5" s="173">
        <v>0</v>
      </c>
      <c r="E5" s="173">
        <v>120</v>
      </c>
      <c r="F5" s="173">
        <v>240</v>
      </c>
      <c r="G5" s="173">
        <v>480</v>
      </c>
      <c r="H5" s="173">
        <v>960</v>
      </c>
      <c r="I5" s="173">
        <f>H5*1.15</f>
        <v>1104</v>
      </c>
      <c r="J5" s="173">
        <f>I5*1.15</f>
        <v>1269.6</v>
      </c>
      <c r="K5" s="173">
        <f>J5*1.15</f>
        <v>1460.0399999999997</v>
      </c>
      <c r="L5" s="173">
        <f>K5*1.15</f>
        <v>1679.0459999999996</v>
      </c>
      <c r="M5" s="173">
        <f>L5*1.15</f>
        <v>1930.9028999999994</v>
      </c>
      <c r="N5" s="127">
        <f>SUM(B5:M5)</f>
        <v>9243.588899999999</v>
      </c>
      <c r="O5" s="121"/>
    </row>
    <row r="6" spans="1:15" ht="15">
      <c r="A6" s="169" t="s">
        <v>57</v>
      </c>
      <c r="B6" s="174">
        <v>1</v>
      </c>
      <c r="C6" s="174">
        <v>2</v>
      </c>
      <c r="D6" s="174">
        <v>3</v>
      </c>
      <c r="E6" s="174">
        <v>4</v>
      </c>
      <c r="F6" s="174">
        <v>5</v>
      </c>
      <c r="G6" s="174">
        <v>6</v>
      </c>
      <c r="H6" s="174">
        <v>7</v>
      </c>
      <c r="I6" s="174">
        <v>8</v>
      </c>
      <c r="J6" s="174">
        <v>9</v>
      </c>
      <c r="K6" s="174">
        <v>10</v>
      </c>
      <c r="L6" s="174">
        <v>11</v>
      </c>
      <c r="M6" s="174">
        <v>12</v>
      </c>
      <c r="N6" s="75"/>
      <c r="O6" s="121"/>
    </row>
    <row r="7" spans="1:15" ht="15">
      <c r="A7" s="169" t="s">
        <v>55</v>
      </c>
      <c r="B7" s="21">
        <f>B5*$D$3</f>
        <v>0</v>
      </c>
      <c r="C7" s="21">
        <f aca="true" t="shared" si="0" ref="C7:M7">C5*$D$3</f>
        <v>0</v>
      </c>
      <c r="D7" s="21">
        <f t="shared" si="0"/>
        <v>0</v>
      </c>
      <c r="E7" s="21">
        <f t="shared" si="0"/>
        <v>23760</v>
      </c>
      <c r="F7" s="21">
        <f t="shared" si="0"/>
        <v>47520</v>
      </c>
      <c r="G7" s="21">
        <f t="shared" si="0"/>
        <v>95040</v>
      </c>
      <c r="H7" s="21">
        <f t="shared" si="0"/>
        <v>190080</v>
      </c>
      <c r="I7" s="21">
        <f t="shared" si="0"/>
        <v>218592</v>
      </c>
      <c r="J7" s="21">
        <f t="shared" si="0"/>
        <v>251380.8</v>
      </c>
      <c r="K7" s="21">
        <f t="shared" si="0"/>
        <v>289087.9199999999</v>
      </c>
      <c r="L7" s="21">
        <f t="shared" si="0"/>
        <v>332451.1079999999</v>
      </c>
      <c r="M7" s="21">
        <f t="shared" si="0"/>
        <v>382318.77419999987</v>
      </c>
      <c r="N7" s="58">
        <f>SUM(B7:M7)</f>
        <v>1830230.6021999996</v>
      </c>
      <c r="O7" s="2"/>
    </row>
    <row r="8" spans="1:14" ht="15">
      <c r="A8" s="133"/>
      <c r="B8" s="124"/>
      <c r="C8" s="124"/>
      <c r="D8" s="124"/>
      <c r="E8" s="124"/>
      <c r="F8" s="124"/>
      <c r="G8" s="124"/>
      <c r="H8" s="124"/>
      <c r="I8" s="124"/>
      <c r="J8" s="124"/>
      <c r="K8" s="124"/>
      <c r="L8" s="124"/>
      <c r="M8" s="124"/>
      <c r="N8" s="128"/>
    </row>
    <row r="9" spans="1:14" ht="15">
      <c r="A9" s="169" t="s">
        <v>56</v>
      </c>
      <c r="B9" s="21">
        <f>B5*$B$3</f>
        <v>0</v>
      </c>
      <c r="C9" s="21">
        <f aca="true" t="shared" si="1" ref="C9:M9">C5*$B$3</f>
        <v>0</v>
      </c>
      <c r="D9" s="21">
        <f t="shared" si="1"/>
        <v>0</v>
      </c>
      <c r="E9" s="21">
        <f t="shared" si="1"/>
        <v>16560</v>
      </c>
      <c r="F9" s="21">
        <f t="shared" si="1"/>
        <v>33120</v>
      </c>
      <c r="G9" s="21">
        <f t="shared" si="1"/>
        <v>66240</v>
      </c>
      <c r="H9" s="21">
        <f t="shared" si="1"/>
        <v>132480</v>
      </c>
      <c r="I9" s="21">
        <f t="shared" si="1"/>
        <v>152352</v>
      </c>
      <c r="J9" s="21">
        <f t="shared" si="1"/>
        <v>175204.8</v>
      </c>
      <c r="K9" s="21">
        <f t="shared" si="1"/>
        <v>201485.51999999996</v>
      </c>
      <c r="L9" s="21">
        <f t="shared" si="1"/>
        <v>231708.34799999994</v>
      </c>
      <c r="M9" s="21">
        <f t="shared" si="1"/>
        <v>266464.6001999999</v>
      </c>
      <c r="N9" s="58">
        <f>SUM(B9:M9)</f>
        <v>1275615.2682</v>
      </c>
    </row>
    <row r="10" spans="1:14" ht="15">
      <c r="A10" s="169" t="s">
        <v>215</v>
      </c>
      <c r="B10" s="175">
        <v>0</v>
      </c>
      <c r="C10" s="175">
        <v>0</v>
      </c>
      <c r="D10" s="175">
        <v>0</v>
      </c>
      <c r="E10" s="175">
        <v>0</v>
      </c>
      <c r="F10" s="175">
        <v>0</v>
      </c>
      <c r="G10" s="175">
        <v>0</v>
      </c>
      <c r="H10" s="175">
        <v>0</v>
      </c>
      <c r="I10" s="175">
        <v>0</v>
      </c>
      <c r="J10" s="175">
        <v>0</v>
      </c>
      <c r="K10" s="175">
        <v>0</v>
      </c>
      <c r="L10" s="175">
        <v>0</v>
      </c>
      <c r="M10" s="175">
        <v>0</v>
      </c>
      <c r="N10" s="58">
        <f>SUM(B10:M10)</f>
        <v>0</v>
      </c>
    </row>
    <row r="11" spans="1:14" ht="15">
      <c r="A11" s="169" t="s">
        <v>194</v>
      </c>
      <c r="B11" s="175">
        <v>0</v>
      </c>
      <c r="C11" s="175">
        <v>0</v>
      </c>
      <c r="D11" s="175">
        <v>0</v>
      </c>
      <c r="E11" s="175">
        <v>0</v>
      </c>
      <c r="F11" s="175">
        <v>0</v>
      </c>
      <c r="G11" s="175">
        <v>0</v>
      </c>
      <c r="H11" s="175">
        <v>0</v>
      </c>
      <c r="I11" s="175">
        <v>0</v>
      </c>
      <c r="J11" s="175">
        <v>0</v>
      </c>
      <c r="K11" s="175"/>
      <c r="L11" s="175">
        <v>200000</v>
      </c>
      <c r="M11" s="175">
        <v>0</v>
      </c>
      <c r="N11" s="58">
        <f>SUM(B11:M11)</f>
        <v>200000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3000</v>
      </c>
      <c r="C13" s="175">
        <v>3000</v>
      </c>
      <c r="D13" s="175">
        <v>3000</v>
      </c>
      <c r="E13" s="175">
        <v>3000</v>
      </c>
      <c r="F13" s="175">
        <v>3000</v>
      </c>
      <c r="G13" s="175">
        <v>3000</v>
      </c>
      <c r="H13" s="175">
        <v>3000</v>
      </c>
      <c r="I13" s="175">
        <v>3000</v>
      </c>
      <c r="J13" s="175">
        <v>3000</v>
      </c>
      <c r="K13" s="175">
        <v>3000</v>
      </c>
      <c r="L13" s="175">
        <v>3000</v>
      </c>
      <c r="M13" s="175">
        <v>25000</v>
      </c>
      <c r="N13" s="58">
        <f aca="true" t="shared" si="2" ref="N13:N33">SUM(B13:M13)</f>
        <v>58000</v>
      </c>
    </row>
    <row r="14" spans="1:14" ht="15">
      <c r="A14" s="169" t="s">
        <v>285</v>
      </c>
      <c r="B14" s="175">
        <v>10000</v>
      </c>
      <c r="C14" s="175">
        <v>0</v>
      </c>
      <c r="D14" s="175">
        <v>0</v>
      </c>
      <c r="E14" s="175">
        <v>0</v>
      </c>
      <c r="F14" s="175">
        <v>0</v>
      </c>
      <c r="G14" s="175">
        <v>0</v>
      </c>
      <c r="H14" s="175">
        <v>0</v>
      </c>
      <c r="I14" s="175">
        <v>0</v>
      </c>
      <c r="J14" s="175">
        <v>0</v>
      </c>
      <c r="K14" s="175">
        <v>0</v>
      </c>
      <c r="L14" s="175">
        <v>0</v>
      </c>
      <c r="M14" s="175">
        <v>0</v>
      </c>
      <c r="N14" s="58">
        <f t="shared" si="2"/>
        <v>10000</v>
      </c>
    </row>
    <row r="15" spans="1:14" ht="15">
      <c r="A15" s="169" t="s">
        <v>198</v>
      </c>
      <c r="B15" s="175">
        <v>0</v>
      </c>
      <c r="C15" s="175">
        <v>0</v>
      </c>
      <c r="D15" s="175">
        <v>4525</v>
      </c>
      <c r="E15" s="175">
        <v>4525</v>
      </c>
      <c r="F15" s="175">
        <v>4525</v>
      </c>
      <c r="G15" s="175">
        <v>4525</v>
      </c>
      <c r="H15" s="175">
        <v>4525</v>
      </c>
      <c r="I15" s="175">
        <v>4525</v>
      </c>
      <c r="J15" s="175">
        <v>4525</v>
      </c>
      <c r="K15" s="175">
        <v>4525</v>
      </c>
      <c r="L15" s="175">
        <v>4525</v>
      </c>
      <c r="M15" s="175">
        <v>4525</v>
      </c>
      <c r="N15" s="58">
        <f t="shared" si="2"/>
        <v>45250</v>
      </c>
    </row>
    <row r="16" spans="1:14" ht="15">
      <c r="A16" s="169" t="s">
        <v>199</v>
      </c>
      <c r="B16" s="175">
        <v>0</v>
      </c>
      <c r="C16" s="175">
        <v>0</v>
      </c>
      <c r="D16" s="175">
        <v>0</v>
      </c>
      <c r="E16" s="175">
        <v>0</v>
      </c>
      <c r="F16" s="175">
        <v>0</v>
      </c>
      <c r="G16" s="175">
        <v>0</v>
      </c>
      <c r="H16" s="175">
        <v>4525</v>
      </c>
      <c r="I16" s="175">
        <v>4525</v>
      </c>
      <c r="J16" s="175">
        <v>4525</v>
      </c>
      <c r="K16" s="175">
        <v>4525</v>
      </c>
      <c r="L16" s="175">
        <v>4525</v>
      </c>
      <c r="M16" s="175">
        <v>4525</v>
      </c>
      <c r="N16" s="58">
        <f t="shared" si="2"/>
        <v>27150</v>
      </c>
    </row>
    <row r="17" spans="1:14" ht="15">
      <c r="A17" s="169" t="s">
        <v>200</v>
      </c>
      <c r="B17" s="175">
        <v>0</v>
      </c>
      <c r="C17" s="175">
        <v>0</v>
      </c>
      <c r="D17" s="175">
        <v>0</v>
      </c>
      <c r="E17" s="175">
        <v>0</v>
      </c>
      <c r="F17" s="175">
        <v>0</v>
      </c>
      <c r="G17" s="175">
        <v>0</v>
      </c>
      <c r="H17" s="175">
        <v>0</v>
      </c>
      <c r="I17" s="175">
        <v>0</v>
      </c>
      <c r="J17" s="175">
        <v>4525</v>
      </c>
      <c r="K17" s="175">
        <v>4525</v>
      </c>
      <c r="L17" s="175">
        <v>4525</v>
      </c>
      <c r="M17" s="175">
        <v>4525</v>
      </c>
      <c r="N17" s="58">
        <f t="shared" si="2"/>
        <v>18100</v>
      </c>
    </row>
    <row r="18" spans="1:14" ht="15">
      <c r="A18" s="169" t="s">
        <v>201</v>
      </c>
      <c r="B18" s="175">
        <v>0</v>
      </c>
      <c r="C18" s="175">
        <v>0</v>
      </c>
      <c r="D18" s="175">
        <v>0</v>
      </c>
      <c r="E18" s="175">
        <v>0</v>
      </c>
      <c r="F18" s="175">
        <v>0</v>
      </c>
      <c r="G18" s="175">
        <v>0</v>
      </c>
      <c r="H18" s="175">
        <v>0</v>
      </c>
      <c r="I18" s="175">
        <v>0</v>
      </c>
      <c r="J18" s="175">
        <v>0</v>
      </c>
      <c r="K18" s="175">
        <v>0</v>
      </c>
      <c r="L18" s="175">
        <v>0</v>
      </c>
      <c r="M18" s="175">
        <v>4525</v>
      </c>
      <c r="N18" s="58">
        <f t="shared" si="2"/>
        <v>4525</v>
      </c>
    </row>
    <row r="19" spans="1:14" ht="15">
      <c r="A19" s="169" t="s">
        <v>203</v>
      </c>
      <c r="B19" s="175">
        <v>0</v>
      </c>
      <c r="C19" s="175">
        <v>0</v>
      </c>
      <c r="D19" s="175">
        <v>4400</v>
      </c>
      <c r="E19" s="175">
        <v>4400</v>
      </c>
      <c r="F19" s="175">
        <v>4400</v>
      </c>
      <c r="G19" s="175">
        <v>4400</v>
      </c>
      <c r="H19" s="178">
        <v>8800</v>
      </c>
      <c r="I19" s="178">
        <v>8800</v>
      </c>
      <c r="J19" s="178">
        <v>8800</v>
      </c>
      <c r="K19" s="178">
        <v>8800</v>
      </c>
      <c r="L19" s="178">
        <v>8800</v>
      </c>
      <c r="M19" s="178">
        <v>8800</v>
      </c>
      <c r="N19" s="58">
        <f t="shared" si="2"/>
        <v>70400</v>
      </c>
    </row>
    <row r="20" spans="1:14" ht="15">
      <c r="A20" s="169" t="s">
        <v>202</v>
      </c>
      <c r="B20" s="175">
        <v>0</v>
      </c>
      <c r="C20" s="175">
        <v>0</v>
      </c>
      <c r="D20" s="175">
        <v>0</v>
      </c>
      <c r="E20" s="175">
        <v>0</v>
      </c>
      <c r="F20" s="175">
        <v>0</v>
      </c>
      <c r="G20" s="175">
        <v>0</v>
      </c>
      <c r="H20" s="175">
        <v>0</v>
      </c>
      <c r="I20" s="175">
        <v>0</v>
      </c>
      <c r="J20" s="175">
        <v>4400</v>
      </c>
      <c r="K20" s="175">
        <v>4400</v>
      </c>
      <c r="L20" s="175">
        <v>4400</v>
      </c>
      <c r="M20" s="175">
        <v>8800</v>
      </c>
      <c r="N20" s="58">
        <f t="shared" si="2"/>
        <v>22000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 t="shared" si="2"/>
        <v>132000</v>
      </c>
    </row>
    <row r="22" spans="1:14" ht="15">
      <c r="A22" s="169" t="s">
        <v>67</v>
      </c>
      <c r="B22" s="175">
        <v>2750</v>
      </c>
      <c r="C22" s="175">
        <v>11000</v>
      </c>
      <c r="D22" s="175">
        <v>11000</v>
      </c>
      <c r="E22" s="175">
        <v>11000</v>
      </c>
      <c r="F22" s="175">
        <v>11000</v>
      </c>
      <c r="G22" s="175">
        <v>11000</v>
      </c>
      <c r="H22" s="175">
        <v>11000</v>
      </c>
      <c r="I22" s="175">
        <v>11000</v>
      </c>
      <c r="J22" s="175">
        <v>11000</v>
      </c>
      <c r="K22" s="175">
        <v>11000</v>
      </c>
      <c r="L22" s="175">
        <v>11000</v>
      </c>
      <c r="M22" s="175">
        <v>11000</v>
      </c>
      <c r="N22" s="58">
        <f t="shared" si="2"/>
        <v>123750</v>
      </c>
    </row>
    <row r="23" spans="1:14" ht="15">
      <c r="A23" s="169" t="s">
        <v>43</v>
      </c>
      <c r="B23" s="175">
        <v>0</v>
      </c>
      <c r="C23" s="175">
        <v>0</v>
      </c>
      <c r="D23" s="175">
        <v>0</v>
      </c>
      <c r="E23" s="175">
        <v>0</v>
      </c>
      <c r="F23" s="175">
        <v>0</v>
      </c>
      <c r="G23" s="175">
        <v>0</v>
      </c>
      <c r="H23" s="175">
        <v>0</v>
      </c>
      <c r="I23" s="175">
        <v>0</v>
      </c>
      <c r="J23" s="175">
        <v>0</v>
      </c>
      <c r="K23" s="175">
        <v>0</v>
      </c>
      <c r="L23" s="175">
        <v>0</v>
      </c>
      <c r="M23" s="175">
        <v>0</v>
      </c>
      <c r="N23" s="58">
        <f t="shared" si="2"/>
        <v>0</v>
      </c>
    </row>
    <row r="24" spans="1:14" ht="15">
      <c r="A24" s="169" t="s">
        <v>62</v>
      </c>
      <c r="B24" s="175">
        <v>0</v>
      </c>
      <c r="C24" s="175">
        <v>0</v>
      </c>
      <c r="D24" s="175">
        <v>2500</v>
      </c>
      <c r="E24" s="175">
        <v>2500</v>
      </c>
      <c r="F24" s="175">
        <v>2500</v>
      </c>
      <c r="G24" s="175">
        <v>2500</v>
      </c>
      <c r="H24" s="175">
        <v>2500</v>
      </c>
      <c r="I24" s="175">
        <v>2500</v>
      </c>
      <c r="J24" s="175">
        <v>2500</v>
      </c>
      <c r="K24" s="175">
        <v>2500</v>
      </c>
      <c r="L24" s="175">
        <v>2500</v>
      </c>
      <c r="M24" s="175">
        <v>2500</v>
      </c>
      <c r="N24" s="58">
        <f t="shared" si="2"/>
        <v>25000</v>
      </c>
    </row>
    <row r="25" spans="1:14" ht="15">
      <c r="A25" s="169" t="s">
        <v>96</v>
      </c>
      <c r="B25" s="175">
        <v>3500</v>
      </c>
      <c r="C25" s="175">
        <v>3500</v>
      </c>
      <c r="D25" s="175">
        <v>20000</v>
      </c>
      <c r="E25" s="175">
        <v>20000</v>
      </c>
      <c r="F25" s="175">
        <v>20000</v>
      </c>
      <c r="G25" s="175">
        <v>20000</v>
      </c>
      <c r="H25" s="175">
        <v>20000</v>
      </c>
      <c r="I25" s="175">
        <v>20000</v>
      </c>
      <c r="J25" s="175">
        <v>20000</v>
      </c>
      <c r="K25" s="175">
        <v>20000</v>
      </c>
      <c r="L25" s="175">
        <v>20000</v>
      </c>
      <c r="M25" s="175">
        <v>20000</v>
      </c>
      <c r="N25" s="58">
        <f t="shared" si="2"/>
        <v>207000</v>
      </c>
    </row>
    <row r="26" spans="1:14" ht="15">
      <c r="A26" s="169" t="s">
        <v>45</v>
      </c>
      <c r="B26" s="175">
        <v>1000</v>
      </c>
      <c r="C26" s="175">
        <v>1000</v>
      </c>
      <c r="D26" s="175">
        <v>3000</v>
      </c>
      <c r="E26" s="175">
        <v>3000</v>
      </c>
      <c r="F26" s="175">
        <v>3000</v>
      </c>
      <c r="G26" s="175">
        <v>3000</v>
      </c>
      <c r="H26" s="175">
        <v>3000</v>
      </c>
      <c r="I26" s="175">
        <v>3000</v>
      </c>
      <c r="J26" s="175">
        <v>3000</v>
      </c>
      <c r="K26" s="175">
        <v>3000</v>
      </c>
      <c r="L26" s="175">
        <v>3000</v>
      </c>
      <c r="M26" s="175">
        <v>3000</v>
      </c>
      <c r="N26" s="58">
        <f t="shared" si="2"/>
        <v>32000</v>
      </c>
    </row>
    <row r="27" spans="1:14" ht="15">
      <c r="A27" s="169" t="s">
        <v>46</v>
      </c>
      <c r="B27" s="175">
        <v>250</v>
      </c>
      <c r="C27" s="175">
        <v>250</v>
      </c>
      <c r="D27" s="175">
        <v>500</v>
      </c>
      <c r="E27" s="175">
        <f>(E4*300*30*0.007469)*2+1000</f>
        <v>1134.442</v>
      </c>
      <c r="F27" s="175">
        <f>(F4*300*30*0.007469)*2+1000</f>
        <v>1134.442</v>
      </c>
      <c r="G27" s="175">
        <f>(G4*300*30*0.007469)*2+1000</f>
        <v>1134.442</v>
      </c>
      <c r="H27" s="175">
        <f aca="true" t="shared" si="3" ref="H27:M27">(H4*300*30*0.007469)*2+1000</f>
        <v>1134.442</v>
      </c>
      <c r="I27" s="175">
        <f t="shared" si="3"/>
        <v>1134.442</v>
      </c>
      <c r="J27" s="175">
        <f t="shared" si="3"/>
        <v>1134.442</v>
      </c>
      <c r="K27" s="175">
        <f t="shared" si="3"/>
        <v>1134.442</v>
      </c>
      <c r="L27" s="175">
        <f t="shared" si="3"/>
        <v>1134.442</v>
      </c>
      <c r="M27" s="175">
        <f t="shared" si="3"/>
        <v>1134.442</v>
      </c>
      <c r="N27" s="58">
        <f t="shared" si="2"/>
        <v>11209.978</v>
      </c>
    </row>
    <row r="28" spans="1:14" ht="15">
      <c r="A28" s="169" t="s">
        <v>48</v>
      </c>
      <c r="B28" s="175">
        <v>1500</v>
      </c>
      <c r="C28" s="175">
        <v>1500</v>
      </c>
      <c r="D28" s="175">
        <v>10000</v>
      </c>
      <c r="E28" s="175">
        <v>10000</v>
      </c>
      <c r="F28" s="175">
        <v>10000</v>
      </c>
      <c r="G28" s="175">
        <v>10000</v>
      </c>
      <c r="H28" s="175">
        <v>10000</v>
      </c>
      <c r="I28" s="175">
        <v>10000</v>
      </c>
      <c r="J28" s="175">
        <v>10000</v>
      </c>
      <c r="K28" s="175">
        <v>10000</v>
      </c>
      <c r="L28" s="175">
        <v>10000</v>
      </c>
      <c r="M28" s="175">
        <v>10000</v>
      </c>
      <c r="N28" s="58">
        <f t="shared" si="2"/>
        <v>103000</v>
      </c>
    </row>
    <row r="29" spans="1:14" ht="15">
      <c r="A29" s="169" t="s">
        <v>50</v>
      </c>
      <c r="B29" s="175">
        <v>0</v>
      </c>
      <c r="C29" s="175">
        <v>0</v>
      </c>
      <c r="D29" s="175">
        <v>0</v>
      </c>
      <c r="E29" s="175">
        <v>1500</v>
      </c>
      <c r="F29" s="175">
        <v>1500</v>
      </c>
      <c r="G29" s="175">
        <v>1500</v>
      </c>
      <c r="H29" s="175">
        <v>1500</v>
      </c>
      <c r="I29" s="175">
        <v>1500</v>
      </c>
      <c r="J29" s="175">
        <v>1500</v>
      </c>
      <c r="K29" s="175">
        <v>1500</v>
      </c>
      <c r="L29" s="175">
        <v>1500</v>
      </c>
      <c r="M29" s="175">
        <v>1500</v>
      </c>
      <c r="N29" s="58">
        <f t="shared" si="2"/>
        <v>13500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2"/>
        <v>20004</v>
      </c>
    </row>
    <row r="31" spans="1:14" ht="15">
      <c r="A31" s="169" t="s">
        <v>214</v>
      </c>
      <c r="B31" s="175">
        <v>0</v>
      </c>
      <c r="C31" s="175">
        <v>6500</v>
      </c>
      <c r="D31" s="175">
        <v>6500</v>
      </c>
      <c r="E31" s="175">
        <f>6500+2*(E5/2)</f>
        <v>6620</v>
      </c>
      <c r="F31" s="175">
        <f aca="true" t="shared" si="4" ref="F31:M31">6500+2*(F5/2)</f>
        <v>6740</v>
      </c>
      <c r="G31" s="175">
        <f t="shared" si="4"/>
        <v>6980</v>
      </c>
      <c r="H31" s="175">
        <f t="shared" si="4"/>
        <v>7460</v>
      </c>
      <c r="I31" s="175">
        <f t="shared" si="4"/>
        <v>7604</v>
      </c>
      <c r="J31" s="175">
        <f t="shared" si="4"/>
        <v>7769.6</v>
      </c>
      <c r="K31" s="175">
        <f t="shared" si="4"/>
        <v>7960.04</v>
      </c>
      <c r="L31" s="175">
        <f t="shared" si="4"/>
        <v>8179.045999999999</v>
      </c>
      <c r="M31" s="175">
        <f t="shared" si="4"/>
        <v>8430.9029</v>
      </c>
      <c r="N31" s="58">
        <f t="shared" si="2"/>
        <v>80743.5889</v>
      </c>
    </row>
    <row r="32" spans="1:14" ht="15">
      <c r="A32" s="170" t="s">
        <v>59</v>
      </c>
      <c r="B32" s="176">
        <v>0</v>
      </c>
      <c r="C32" s="175">
        <v>3400</v>
      </c>
      <c r="D32" s="175">
        <v>3400</v>
      </c>
      <c r="E32" s="175">
        <f aca="true" t="shared" si="5" ref="E32:M32">3400+1*(E4/2)</f>
        <v>3400.5</v>
      </c>
      <c r="F32" s="175">
        <f t="shared" si="5"/>
        <v>3400.5</v>
      </c>
      <c r="G32" s="175">
        <f t="shared" si="5"/>
        <v>3400.5</v>
      </c>
      <c r="H32" s="175">
        <f t="shared" si="5"/>
        <v>3400.5</v>
      </c>
      <c r="I32" s="175">
        <f t="shared" si="5"/>
        <v>3400.5</v>
      </c>
      <c r="J32" s="175">
        <f t="shared" si="5"/>
        <v>3400.5</v>
      </c>
      <c r="K32" s="175">
        <f t="shared" si="5"/>
        <v>3400.5</v>
      </c>
      <c r="L32" s="175">
        <f t="shared" si="5"/>
        <v>3400.5</v>
      </c>
      <c r="M32" s="175">
        <f t="shared" si="5"/>
        <v>3400.5</v>
      </c>
      <c r="N32" s="58">
        <f>SUM(B32:M32)</f>
        <v>37404.5</v>
      </c>
    </row>
    <row r="33" spans="1:14" ht="15.75" thickBot="1">
      <c r="A33" s="170" t="s">
        <v>58</v>
      </c>
      <c r="B33" s="176">
        <v>0</v>
      </c>
      <c r="C33" s="175">
        <v>3400</v>
      </c>
      <c r="D33" s="175">
        <v>3400</v>
      </c>
      <c r="E33" s="175">
        <f aca="true" t="shared" si="6" ref="E33:M33">3400+1*(E5/2)</f>
        <v>3460</v>
      </c>
      <c r="F33" s="175">
        <f t="shared" si="6"/>
        <v>3520</v>
      </c>
      <c r="G33" s="175">
        <f t="shared" si="6"/>
        <v>3640</v>
      </c>
      <c r="H33" s="175">
        <f t="shared" si="6"/>
        <v>3880</v>
      </c>
      <c r="I33" s="175">
        <f t="shared" si="6"/>
        <v>3952</v>
      </c>
      <c r="J33" s="175">
        <f t="shared" si="6"/>
        <v>4034.8</v>
      </c>
      <c r="K33" s="175">
        <f t="shared" si="6"/>
        <v>4130.0199999999995</v>
      </c>
      <c r="L33" s="175">
        <f t="shared" si="6"/>
        <v>4239.523</v>
      </c>
      <c r="M33" s="175">
        <f t="shared" si="6"/>
        <v>4365.45145</v>
      </c>
      <c r="N33" s="58">
        <f t="shared" si="2"/>
        <v>42021.79445</v>
      </c>
    </row>
    <row r="34" spans="1:14" ht="15.75" thickBot="1">
      <c r="A34" s="171" t="s">
        <v>94</v>
      </c>
      <c r="B34" s="22">
        <f aca="true" t="shared" si="7" ref="B34:M34">B7-SUM(B9:B33)</f>
        <v>-34667</v>
      </c>
      <c r="C34" s="22">
        <f t="shared" si="7"/>
        <v>-46217</v>
      </c>
      <c r="D34" s="22">
        <f t="shared" si="7"/>
        <v>-84892</v>
      </c>
      <c r="E34" s="22">
        <f t="shared" si="7"/>
        <v>-80006.942</v>
      </c>
      <c r="F34" s="22">
        <f t="shared" si="7"/>
        <v>-72986.942</v>
      </c>
      <c r="G34" s="22">
        <f t="shared" si="7"/>
        <v>-58946.94199999998</v>
      </c>
      <c r="H34" s="22">
        <f t="shared" si="7"/>
        <v>-39791.94200000001</v>
      </c>
      <c r="I34" s="22">
        <f t="shared" si="7"/>
        <v>-31367.94200000001</v>
      </c>
      <c r="J34" s="22">
        <f t="shared" si="7"/>
        <v>-30605.341999999946</v>
      </c>
      <c r="K34" s="22">
        <f t="shared" si="7"/>
        <v>-19464.602000000014</v>
      </c>
      <c r="L34" s="22">
        <f t="shared" si="7"/>
        <v>-206652.75100000005</v>
      </c>
      <c r="M34" s="22">
        <f t="shared" si="7"/>
        <v>-22844.12235000002</v>
      </c>
      <c r="N34" s="22">
        <f>SUM(B34:M34)</f>
        <v>-728443.5273500001</v>
      </c>
    </row>
    <row r="35" ht="15">
      <c r="D35" s="2"/>
    </row>
    <row r="37" spans="1:14" ht="15">
      <c r="A37" s="247" t="s">
        <v>289</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3" spans="1:14" ht="15">
      <c r="A43" s="247"/>
      <c r="B43" s="247"/>
      <c r="C43" s="247"/>
      <c r="D43" s="247"/>
      <c r="E43" s="247"/>
      <c r="F43" s="247"/>
      <c r="G43" s="247"/>
      <c r="H43" s="247"/>
      <c r="I43" s="247"/>
      <c r="J43" s="247"/>
      <c r="K43" s="247"/>
      <c r="L43" s="247"/>
      <c r="M43" s="247"/>
      <c r="N43" s="247"/>
    </row>
    <row r="45" spans="2:7" ht="15">
      <c r="B45" s="248" t="s">
        <v>288</v>
      </c>
      <c r="C45" s="248"/>
      <c r="D45" s="248"/>
      <c r="E45" s="248"/>
      <c r="F45" s="248"/>
      <c r="G45" s="248"/>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25" right="0.25" top="0.75" bottom="0.75" header="0.3" footer="0.3"/>
  <pageSetup fitToHeight="1" fitToWidth="1" horizontalDpi="600" verticalDpi="600" orientation="landscape" scale="63" r:id="rId1"/>
  <headerFooter>
    <oddHeader>&amp;C&amp;"-,Bold"&amp;36&amp;UProject Victories Project Selection Tool</oddHeader>
    <oddFooter>&amp;CCopyright The Volpe Consortium,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45"/>
  <sheetViews>
    <sheetView view="pageLayout" workbookViewId="0" topLeftCell="A1">
      <selection activeCell="A2" sqref="A2"/>
    </sheetView>
  </sheetViews>
  <sheetFormatPr defaultColWidth="9.140625" defaultRowHeight="15"/>
  <cols>
    <col min="1" max="1" width="28.140625" style="0" bestFit="1" customWidth="1"/>
    <col min="2" max="2" width="13.421875" style="0" bestFit="1" customWidth="1"/>
    <col min="3" max="4" width="12.57421875" style="0" bestFit="1" customWidth="1"/>
    <col min="5" max="5" width="13.421875" style="0" bestFit="1" customWidth="1"/>
    <col min="6" max="13" width="14.28125" style="0" bestFit="1" customWidth="1"/>
    <col min="14" max="14" width="15.28125" style="0" bestFit="1" customWidth="1"/>
  </cols>
  <sheetData>
    <row r="1" spans="1:14" ht="15">
      <c r="A1" s="57"/>
      <c r="B1" s="101" t="s">
        <v>15</v>
      </c>
      <c r="C1" s="101" t="s">
        <v>35</v>
      </c>
      <c r="D1" s="101" t="s">
        <v>54</v>
      </c>
      <c r="E1" s="25"/>
      <c r="F1" s="25"/>
      <c r="G1" s="25"/>
      <c r="H1" s="25"/>
      <c r="I1" s="25"/>
      <c r="J1" s="25"/>
      <c r="K1" s="25"/>
      <c r="L1" s="25"/>
      <c r="M1" s="25"/>
      <c r="N1" s="27"/>
    </row>
    <row r="2" spans="1:14" ht="15">
      <c r="A2" s="169" t="s">
        <v>281</v>
      </c>
      <c r="B2" s="172">
        <f>Calcs!E22</f>
        <v>11.504463131543012</v>
      </c>
      <c r="C2" s="172">
        <f>Calcs!F22</f>
        <v>4.995536868456988</v>
      </c>
      <c r="D2" s="122">
        <f>B2+C2</f>
        <v>16.5</v>
      </c>
      <c r="E2" s="74"/>
      <c r="F2" s="74"/>
      <c r="G2" s="74"/>
      <c r="H2" s="74"/>
      <c r="I2" s="74"/>
      <c r="J2" s="74"/>
      <c r="K2" s="74"/>
      <c r="L2" s="74"/>
      <c r="M2" s="74"/>
      <c r="N2" s="26"/>
    </row>
    <row r="3" spans="1:14" ht="15">
      <c r="A3" s="169" t="s">
        <v>282</v>
      </c>
      <c r="B3" s="172">
        <f>Calcs!E23</f>
        <v>138</v>
      </c>
      <c r="C3" s="172">
        <f>Calcs!F23</f>
        <v>60</v>
      </c>
      <c r="D3" s="122">
        <f>SUM(B3:C3)</f>
        <v>198</v>
      </c>
      <c r="E3" s="74"/>
      <c r="F3" s="74"/>
      <c r="G3" s="74"/>
      <c r="H3" s="74"/>
      <c r="I3" s="74"/>
      <c r="J3" s="74"/>
      <c r="K3" s="74"/>
      <c r="L3" s="74"/>
      <c r="M3" s="74"/>
      <c r="N3" s="26"/>
    </row>
    <row r="4" spans="1:14" ht="15">
      <c r="A4" s="169" t="s">
        <v>283</v>
      </c>
      <c r="B4" s="177">
        <v>1</v>
      </c>
      <c r="C4" s="177">
        <v>1</v>
      </c>
      <c r="D4" s="177">
        <f>INT(D5/Calcs!$B$21)+1</f>
        <v>2</v>
      </c>
      <c r="E4" s="177">
        <f>INT(E5/Calcs!$B$21)+1</f>
        <v>2</v>
      </c>
      <c r="F4" s="177">
        <f>INT(F5/Calcs!$B$21)+1</f>
        <v>2</v>
      </c>
      <c r="G4" s="177">
        <f>INT(G5/Calcs!$B$21)+1</f>
        <v>2</v>
      </c>
      <c r="H4" s="177">
        <f>INT(H5/Calcs!$B$21)+1</f>
        <v>2</v>
      </c>
      <c r="I4" s="177">
        <f>INT(I5/Calcs!$B$21)+1</f>
        <v>2</v>
      </c>
      <c r="J4" s="177">
        <v>2</v>
      </c>
      <c r="K4" s="177">
        <f>INT(K5/Calcs!$B$21)+1</f>
        <v>3</v>
      </c>
      <c r="L4" s="177">
        <f>INT(L5/Calcs!$B$21)+1</f>
        <v>3</v>
      </c>
      <c r="M4" s="177">
        <f>INT(M5/Calcs!$B$21)+1</f>
        <v>3</v>
      </c>
      <c r="N4" s="26"/>
    </row>
    <row r="5" spans="1:14" ht="15">
      <c r="A5" s="169" t="s">
        <v>284</v>
      </c>
      <c r="B5" s="173">
        <f>'FY 1 Best'!M5*1.1</f>
        <v>2123.9931899999997</v>
      </c>
      <c r="C5" s="173">
        <f>B5*1.1</f>
        <v>2336.392509</v>
      </c>
      <c r="D5" s="173">
        <f aca="true" t="shared" si="0" ref="D5:M5">C5*1.1</f>
        <v>2570.0317599</v>
      </c>
      <c r="E5" s="173">
        <f t="shared" si="0"/>
        <v>2827.0349358900003</v>
      </c>
      <c r="F5" s="173">
        <f t="shared" si="0"/>
        <v>3109.7384294790004</v>
      </c>
      <c r="G5" s="173">
        <f t="shared" si="0"/>
        <v>3420.7122724269007</v>
      </c>
      <c r="H5" s="173">
        <f t="shared" si="0"/>
        <v>3762.783499669591</v>
      </c>
      <c r="I5" s="173">
        <f t="shared" si="0"/>
        <v>4139.0618496365505</v>
      </c>
      <c r="J5" s="173">
        <f t="shared" si="0"/>
        <v>4552.968034600206</v>
      </c>
      <c r="K5" s="173">
        <f t="shared" si="0"/>
        <v>5008.264838060227</v>
      </c>
      <c r="L5" s="173">
        <f t="shared" si="0"/>
        <v>5509.09132186625</v>
      </c>
      <c r="M5" s="173">
        <f t="shared" si="0"/>
        <v>6060.000454052875</v>
      </c>
      <c r="N5" s="127">
        <f>SUM(B5:M5)</f>
        <v>45420.0730945816</v>
      </c>
    </row>
    <row r="6" spans="1:14" ht="15">
      <c r="A6" s="169" t="s">
        <v>57</v>
      </c>
      <c r="B6" s="174">
        <v>1</v>
      </c>
      <c r="C6" s="174">
        <v>2</v>
      </c>
      <c r="D6" s="174">
        <v>3</v>
      </c>
      <c r="E6" s="174">
        <v>4</v>
      </c>
      <c r="F6" s="174">
        <v>5</v>
      </c>
      <c r="G6" s="174">
        <v>6</v>
      </c>
      <c r="H6" s="174">
        <v>7</v>
      </c>
      <c r="I6" s="174">
        <v>8</v>
      </c>
      <c r="J6" s="174">
        <v>9</v>
      </c>
      <c r="K6" s="174">
        <v>10</v>
      </c>
      <c r="L6" s="174">
        <v>11</v>
      </c>
      <c r="M6" s="174">
        <v>12</v>
      </c>
      <c r="N6" s="26"/>
    </row>
    <row r="7" spans="1:14" ht="15">
      <c r="A7" s="169" t="s">
        <v>55</v>
      </c>
      <c r="B7" s="31">
        <f>B5*$D$3</f>
        <v>420550.65161999996</v>
      </c>
      <c r="C7" s="31">
        <f aca="true" t="shared" si="1" ref="C7:M7">C5*$D$3</f>
        <v>462605.716782</v>
      </c>
      <c r="D7" s="31">
        <f t="shared" si="1"/>
        <v>508866.2884602</v>
      </c>
      <c r="E7" s="31">
        <f t="shared" si="1"/>
        <v>559752.91730622</v>
      </c>
      <c r="F7" s="31">
        <f t="shared" si="1"/>
        <v>615728.2090368421</v>
      </c>
      <c r="G7" s="31">
        <f t="shared" si="1"/>
        <v>677301.0299405264</v>
      </c>
      <c r="H7" s="31">
        <f t="shared" si="1"/>
        <v>745031.132934579</v>
      </c>
      <c r="I7" s="31">
        <f t="shared" si="1"/>
        <v>819534.246228037</v>
      </c>
      <c r="J7" s="31">
        <f t="shared" si="1"/>
        <v>901487.6708508407</v>
      </c>
      <c r="K7" s="31">
        <f t="shared" si="1"/>
        <v>991636.4379359249</v>
      </c>
      <c r="L7" s="31">
        <f t="shared" si="1"/>
        <v>1090800.0817295176</v>
      </c>
      <c r="M7" s="31">
        <f t="shared" si="1"/>
        <v>1199880.0899024694</v>
      </c>
      <c r="N7" s="32">
        <f>SUM(B7:M7)</f>
        <v>8993174.472727157</v>
      </c>
    </row>
    <row r="8" spans="1:14" ht="15">
      <c r="A8" s="133"/>
      <c r="B8" s="36"/>
      <c r="C8" s="36"/>
      <c r="D8" s="36"/>
      <c r="E8" s="36"/>
      <c r="F8" s="36"/>
      <c r="G8" s="36"/>
      <c r="H8" s="36"/>
      <c r="I8" s="36"/>
      <c r="J8" s="36"/>
      <c r="K8" s="36"/>
      <c r="L8" s="36"/>
      <c r="M8" s="36"/>
      <c r="N8" s="37"/>
    </row>
    <row r="9" spans="1:14" ht="15">
      <c r="A9" s="169" t="s">
        <v>56</v>
      </c>
      <c r="B9" s="21">
        <f>B5*$B$3</f>
        <v>293111.06022</v>
      </c>
      <c r="C9" s="21">
        <f aca="true" t="shared" si="2" ref="C9:M9">C5*$B$3</f>
        <v>322422.16624199995</v>
      </c>
      <c r="D9" s="21">
        <f t="shared" si="2"/>
        <v>354664.3828662</v>
      </c>
      <c r="E9" s="21">
        <f t="shared" si="2"/>
        <v>390130.82115282</v>
      </c>
      <c r="F9" s="21">
        <f t="shared" si="2"/>
        <v>429143.90326810203</v>
      </c>
      <c r="G9" s="21">
        <f t="shared" si="2"/>
        <v>472058.2935949123</v>
      </c>
      <c r="H9" s="21">
        <f t="shared" si="2"/>
        <v>519264.1229544036</v>
      </c>
      <c r="I9" s="21">
        <f t="shared" si="2"/>
        <v>571190.535249844</v>
      </c>
      <c r="J9" s="21">
        <f t="shared" si="2"/>
        <v>628309.5887748285</v>
      </c>
      <c r="K9" s="21">
        <f t="shared" si="2"/>
        <v>691140.5476523113</v>
      </c>
      <c r="L9" s="21">
        <f t="shared" si="2"/>
        <v>760254.6024175425</v>
      </c>
      <c r="M9" s="21">
        <f t="shared" si="2"/>
        <v>836280.0626592968</v>
      </c>
      <c r="N9" s="32">
        <f>SUM(B9:M9)</f>
        <v>6267970.087052261</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0</v>
      </c>
      <c r="D11" s="175">
        <v>0</v>
      </c>
      <c r="E11" s="175">
        <v>0</v>
      </c>
      <c r="F11" s="175">
        <v>0</v>
      </c>
      <c r="G11" s="175">
        <v>200000</v>
      </c>
      <c r="H11" s="175">
        <v>0</v>
      </c>
      <c r="I11" s="175">
        <v>0</v>
      </c>
      <c r="J11" s="175">
        <v>0</v>
      </c>
      <c r="K11" s="175">
        <v>0</v>
      </c>
      <c r="L11" s="175">
        <v>0</v>
      </c>
      <c r="M11" s="175">
        <v>200000</v>
      </c>
      <c r="N11" s="58">
        <f>SUM(B11:M11)</f>
        <v>400000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 aca="true" t="shared" si="3" ref="N13:N33">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4525</v>
      </c>
      <c r="C15" s="175">
        <v>4525</v>
      </c>
      <c r="D15" s="175">
        <v>9050</v>
      </c>
      <c r="E15" s="175">
        <v>9050</v>
      </c>
      <c r="F15" s="175">
        <v>9050</v>
      </c>
      <c r="G15" s="175">
        <v>9050</v>
      </c>
      <c r="H15" s="175">
        <v>9050</v>
      </c>
      <c r="I15" s="175">
        <v>9050</v>
      </c>
      <c r="J15" s="175">
        <v>9050</v>
      </c>
      <c r="K15" s="175">
        <v>13575</v>
      </c>
      <c r="L15" s="175">
        <v>13575</v>
      </c>
      <c r="M15" s="175">
        <v>13575</v>
      </c>
      <c r="N15" s="58">
        <f t="shared" si="3"/>
        <v>113125</v>
      </c>
    </row>
    <row r="16" spans="1:14" ht="15">
      <c r="A16" s="169" t="s">
        <v>199</v>
      </c>
      <c r="B16" s="175">
        <v>4525</v>
      </c>
      <c r="C16" s="175">
        <v>4525</v>
      </c>
      <c r="D16" s="175">
        <v>4525</v>
      </c>
      <c r="E16" s="175">
        <v>4525</v>
      </c>
      <c r="F16" s="175">
        <v>9050</v>
      </c>
      <c r="G16" s="175">
        <v>9050</v>
      </c>
      <c r="H16" s="175">
        <v>9050</v>
      </c>
      <c r="I16" s="175">
        <v>9050</v>
      </c>
      <c r="J16" s="175">
        <v>9050</v>
      </c>
      <c r="K16" s="175">
        <v>9050</v>
      </c>
      <c r="L16" s="175">
        <v>13575</v>
      </c>
      <c r="M16" s="175">
        <v>13575</v>
      </c>
      <c r="N16" s="58">
        <f t="shared" si="3"/>
        <v>99550</v>
      </c>
    </row>
    <row r="17" spans="1:14" ht="15">
      <c r="A17" s="169" t="s">
        <v>200</v>
      </c>
      <c r="B17" s="175">
        <v>4525</v>
      </c>
      <c r="C17" s="175">
        <v>4525</v>
      </c>
      <c r="D17" s="175">
        <v>4525</v>
      </c>
      <c r="E17" s="175">
        <v>4525</v>
      </c>
      <c r="F17" s="175">
        <v>4525</v>
      </c>
      <c r="G17" s="175">
        <v>4525</v>
      </c>
      <c r="H17" s="175">
        <v>9050</v>
      </c>
      <c r="I17" s="175">
        <v>9050</v>
      </c>
      <c r="J17" s="175">
        <v>9050</v>
      </c>
      <c r="K17" s="175">
        <v>9050</v>
      </c>
      <c r="L17" s="175">
        <v>9050</v>
      </c>
      <c r="M17" s="175">
        <v>13575</v>
      </c>
      <c r="N17" s="58">
        <f t="shared" si="3"/>
        <v>85975</v>
      </c>
    </row>
    <row r="18" spans="1:14" ht="15">
      <c r="A18" s="169" t="s">
        <v>201</v>
      </c>
      <c r="B18" s="175">
        <v>4525</v>
      </c>
      <c r="C18" s="175">
        <v>4525</v>
      </c>
      <c r="D18" s="175">
        <v>4525</v>
      </c>
      <c r="E18" s="175">
        <v>4525</v>
      </c>
      <c r="F18" s="175">
        <v>4525</v>
      </c>
      <c r="G18" s="175">
        <v>4525</v>
      </c>
      <c r="H18" s="175">
        <v>4525</v>
      </c>
      <c r="I18" s="175">
        <v>4525</v>
      </c>
      <c r="J18" s="175">
        <v>9050</v>
      </c>
      <c r="K18" s="175">
        <v>9050</v>
      </c>
      <c r="L18" s="175">
        <v>9050</v>
      </c>
      <c r="M18" s="175">
        <v>9050</v>
      </c>
      <c r="N18" s="58">
        <f aca="true" t="shared" si="4" ref="N18:N24">SUM(B18:M18)</f>
        <v>72400</v>
      </c>
    </row>
    <row r="19" spans="1:14" ht="15">
      <c r="A19" s="169" t="s">
        <v>203</v>
      </c>
      <c r="B19" s="175">
        <v>8800</v>
      </c>
      <c r="C19" s="175">
        <v>8800</v>
      </c>
      <c r="D19" s="175">
        <v>8800</v>
      </c>
      <c r="E19" s="175">
        <v>8800</v>
      </c>
      <c r="F19" s="175">
        <v>8800</v>
      </c>
      <c r="G19" s="175">
        <v>8800</v>
      </c>
      <c r="H19" s="175">
        <v>8800</v>
      </c>
      <c r="I19" s="175">
        <v>8800</v>
      </c>
      <c r="J19" s="175">
        <v>8800</v>
      </c>
      <c r="K19" s="175">
        <v>8800</v>
      </c>
      <c r="L19" s="175">
        <v>8800</v>
      </c>
      <c r="M19" s="175">
        <v>8800</v>
      </c>
      <c r="N19" s="58">
        <f t="shared" si="4"/>
        <v>105600</v>
      </c>
    </row>
    <row r="20" spans="1:14" ht="15">
      <c r="A20" s="169" t="s">
        <v>202</v>
      </c>
      <c r="B20" s="175">
        <v>8800</v>
      </c>
      <c r="C20" s="175">
        <v>8800</v>
      </c>
      <c r="D20" s="175">
        <v>8800</v>
      </c>
      <c r="E20" s="175">
        <v>8800</v>
      </c>
      <c r="F20" s="175">
        <v>8800</v>
      </c>
      <c r="G20" s="175">
        <v>8800</v>
      </c>
      <c r="H20" s="175">
        <v>8800</v>
      </c>
      <c r="I20" s="175">
        <v>8800</v>
      </c>
      <c r="J20" s="175">
        <v>8800</v>
      </c>
      <c r="K20" s="175">
        <v>8800</v>
      </c>
      <c r="L20" s="175">
        <v>8800</v>
      </c>
      <c r="M20" s="175">
        <v>8800</v>
      </c>
      <c r="N20" s="58">
        <f t="shared" si="4"/>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 t="shared" si="4"/>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 t="shared" si="4"/>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4"/>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4"/>
        <v>30000</v>
      </c>
    </row>
    <row r="25" spans="1:14" ht="15">
      <c r="A25" s="169" t="s">
        <v>96</v>
      </c>
      <c r="B25" s="175">
        <v>20000</v>
      </c>
      <c r="C25" s="175">
        <v>20000</v>
      </c>
      <c r="D25" s="175">
        <v>20000</v>
      </c>
      <c r="E25" s="175">
        <v>20000</v>
      </c>
      <c r="F25" s="175">
        <v>20000</v>
      </c>
      <c r="G25" s="175">
        <v>20000</v>
      </c>
      <c r="H25" s="175">
        <v>20000</v>
      </c>
      <c r="I25" s="175">
        <v>20000</v>
      </c>
      <c r="J25" s="175">
        <v>20000</v>
      </c>
      <c r="K25" s="175">
        <v>20000</v>
      </c>
      <c r="L25" s="175">
        <v>20000</v>
      </c>
      <c r="M25" s="175">
        <v>20000</v>
      </c>
      <c r="N25" s="58">
        <f t="shared" si="3"/>
        <v>240000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1134.442</v>
      </c>
      <c r="C27" s="175">
        <f aca="true" t="shared" si="5" ref="C27:M27">(C4*300*30*0.007469)*2+1000</f>
        <v>1134.442</v>
      </c>
      <c r="D27" s="175">
        <f t="shared" si="5"/>
        <v>1268.884</v>
      </c>
      <c r="E27" s="175">
        <f t="shared" si="5"/>
        <v>1268.884</v>
      </c>
      <c r="F27" s="175">
        <f t="shared" si="5"/>
        <v>1268.884</v>
      </c>
      <c r="G27" s="175">
        <f t="shared" si="5"/>
        <v>1268.884</v>
      </c>
      <c r="H27" s="175">
        <f t="shared" si="5"/>
        <v>1268.884</v>
      </c>
      <c r="I27" s="175">
        <f t="shared" si="5"/>
        <v>1268.884</v>
      </c>
      <c r="J27" s="175">
        <f t="shared" si="5"/>
        <v>1268.884</v>
      </c>
      <c r="K27" s="175">
        <f t="shared" si="5"/>
        <v>1403.326</v>
      </c>
      <c r="L27" s="175">
        <f t="shared" si="5"/>
        <v>1403.326</v>
      </c>
      <c r="M27" s="175">
        <f t="shared" si="5"/>
        <v>1403.326</v>
      </c>
      <c r="N27" s="58">
        <f t="shared" si="3"/>
        <v>15361.050000000003</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f aca="true" t="shared" si="6" ref="B31:M31">6500+2*(B5/2)</f>
        <v>8623.99319</v>
      </c>
      <c r="C31" s="175">
        <f t="shared" si="6"/>
        <v>8836.392509</v>
      </c>
      <c r="D31" s="175">
        <f t="shared" si="6"/>
        <v>9070.0317599</v>
      </c>
      <c r="E31" s="175">
        <f t="shared" si="6"/>
        <v>9327.03493589</v>
      </c>
      <c r="F31" s="175">
        <f t="shared" si="6"/>
        <v>9609.738429479</v>
      </c>
      <c r="G31" s="175">
        <f t="shared" si="6"/>
        <v>9920.712272426901</v>
      </c>
      <c r="H31" s="175">
        <f t="shared" si="6"/>
        <v>10262.783499669591</v>
      </c>
      <c r="I31" s="175">
        <f t="shared" si="6"/>
        <v>10639.06184963655</v>
      </c>
      <c r="J31" s="175">
        <f t="shared" si="6"/>
        <v>11052.968034600206</v>
      </c>
      <c r="K31" s="175">
        <f t="shared" si="6"/>
        <v>11508.264838060226</v>
      </c>
      <c r="L31" s="175">
        <f t="shared" si="6"/>
        <v>12009.09132186625</v>
      </c>
      <c r="M31" s="175">
        <f t="shared" si="6"/>
        <v>12560.000454052875</v>
      </c>
      <c r="N31" s="58">
        <f t="shared" si="3"/>
        <v>123420.07309458159</v>
      </c>
    </row>
    <row r="32" spans="1:14" ht="15">
      <c r="A32" s="170" t="s">
        <v>59</v>
      </c>
      <c r="B32" s="175">
        <f aca="true" t="shared" si="7" ref="B32:M32">3400+1*(B4/2)</f>
        <v>3400.5</v>
      </c>
      <c r="C32" s="175">
        <f t="shared" si="7"/>
        <v>3400.5</v>
      </c>
      <c r="D32" s="175">
        <f t="shared" si="7"/>
        <v>3401</v>
      </c>
      <c r="E32" s="175">
        <f t="shared" si="7"/>
        <v>3401</v>
      </c>
      <c r="F32" s="175">
        <f t="shared" si="7"/>
        <v>3401</v>
      </c>
      <c r="G32" s="175">
        <f t="shared" si="7"/>
        <v>3401</v>
      </c>
      <c r="H32" s="175">
        <f t="shared" si="7"/>
        <v>3401</v>
      </c>
      <c r="I32" s="175">
        <f t="shared" si="7"/>
        <v>3401</v>
      </c>
      <c r="J32" s="175">
        <f t="shared" si="7"/>
        <v>3401</v>
      </c>
      <c r="K32" s="175">
        <f t="shared" si="7"/>
        <v>3401.5</v>
      </c>
      <c r="L32" s="175">
        <f t="shared" si="7"/>
        <v>3401.5</v>
      </c>
      <c r="M32" s="175">
        <f t="shared" si="7"/>
        <v>3401.5</v>
      </c>
      <c r="N32" s="32">
        <f>SUM(B32:M32)</f>
        <v>40812.5</v>
      </c>
    </row>
    <row r="33" spans="1:14" ht="15.75" thickBot="1">
      <c r="A33" s="170" t="s">
        <v>58</v>
      </c>
      <c r="B33" s="175">
        <f aca="true" t="shared" si="8" ref="B33:M33">3400+1*(B5/2)</f>
        <v>4461.996595</v>
      </c>
      <c r="C33" s="175">
        <f t="shared" si="8"/>
        <v>4568.1962545</v>
      </c>
      <c r="D33" s="175">
        <f t="shared" si="8"/>
        <v>4685.01587995</v>
      </c>
      <c r="E33" s="175">
        <f t="shared" si="8"/>
        <v>4813.517467945</v>
      </c>
      <c r="F33" s="175">
        <f t="shared" si="8"/>
        <v>4954.8692147395</v>
      </c>
      <c r="G33" s="175">
        <f t="shared" si="8"/>
        <v>5110.356136213451</v>
      </c>
      <c r="H33" s="175">
        <f t="shared" si="8"/>
        <v>5281.3917498347955</v>
      </c>
      <c r="I33" s="175">
        <f t="shared" si="8"/>
        <v>5469.530924818275</v>
      </c>
      <c r="J33" s="175">
        <f t="shared" si="8"/>
        <v>5676.484017300103</v>
      </c>
      <c r="K33" s="175">
        <f t="shared" si="8"/>
        <v>5904.132419030113</v>
      </c>
      <c r="L33" s="175">
        <f t="shared" si="8"/>
        <v>6154.545660933125</v>
      </c>
      <c r="M33" s="175">
        <f t="shared" si="8"/>
        <v>6430.000227026438</v>
      </c>
      <c r="N33" s="58">
        <f t="shared" si="3"/>
        <v>63510.036547290794</v>
      </c>
    </row>
    <row r="34" spans="1:14" ht="15.75" thickBot="1">
      <c r="A34" s="171" t="s">
        <v>94</v>
      </c>
      <c r="B34" s="22">
        <f aca="true" t="shared" si="9" ref="B34:M34">B7-SUM(B9:B33)</f>
        <v>-24548.34038499999</v>
      </c>
      <c r="C34" s="22">
        <f t="shared" si="9"/>
        <v>-12122.980223499995</v>
      </c>
      <c r="D34" s="22">
        <f t="shared" si="9"/>
        <v>-3115.0260458500125</v>
      </c>
      <c r="E34" s="22">
        <f t="shared" si="9"/>
        <v>11919.659749564948</v>
      </c>
      <c r="F34" s="22">
        <f t="shared" si="9"/>
        <v>23932.814124521567</v>
      </c>
      <c r="G34" s="22">
        <f t="shared" si="9"/>
        <v>-157875.21606302622</v>
      </c>
      <c r="H34" s="22">
        <f t="shared" si="9"/>
        <v>57610.950730671175</v>
      </c>
      <c r="I34" s="22">
        <f t="shared" si="9"/>
        <v>79623.23420373828</v>
      </c>
      <c r="J34" s="22">
        <f t="shared" si="9"/>
        <v>99311.74602411198</v>
      </c>
      <c r="K34" s="22">
        <f t="shared" si="9"/>
        <v>121286.66702652327</v>
      </c>
      <c r="L34" s="22">
        <f t="shared" si="9"/>
        <v>146060.01632917568</v>
      </c>
      <c r="M34" s="22">
        <f t="shared" si="9"/>
        <v>-26236.79943790636</v>
      </c>
      <c r="N34" s="23">
        <f>SUM(B34:M34)</f>
        <v>315846.7260330243</v>
      </c>
    </row>
    <row r="37" spans="1:14" ht="15">
      <c r="A37" s="247" t="s">
        <v>290</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3" spans="1:14" ht="15">
      <c r="A43" s="247"/>
      <c r="B43" s="247"/>
      <c r="C43" s="247"/>
      <c r="D43" s="247"/>
      <c r="E43" s="247"/>
      <c r="F43" s="247"/>
      <c r="G43" s="247"/>
      <c r="H43" s="247"/>
      <c r="I43" s="247"/>
      <c r="J43" s="247"/>
      <c r="K43" s="247"/>
      <c r="L43" s="247"/>
      <c r="M43" s="247"/>
      <c r="N43" s="247"/>
    </row>
    <row r="45" spans="2:7" ht="15">
      <c r="B45" s="248" t="s">
        <v>288</v>
      </c>
      <c r="C45" s="248"/>
      <c r="D45" s="248"/>
      <c r="E45" s="248"/>
      <c r="F45" s="248"/>
      <c r="G45" s="248"/>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8" r:id="rId1"/>
  <headerFooter>
    <oddHeader>&amp;C&amp;"-,Bold"&amp;36&amp;UProject Victories Project Selection Tool</oddHeader>
    <oddFooter>&amp;CCopyright The Volpe Consortium,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5"/>
  <sheetViews>
    <sheetView view="pageLayout" workbookViewId="0" topLeftCell="A1">
      <selection activeCell="A2" sqref="A2"/>
    </sheetView>
  </sheetViews>
  <sheetFormatPr defaultColWidth="9.140625" defaultRowHeight="15"/>
  <cols>
    <col min="1" max="1" width="28.140625" style="0" customWidth="1"/>
    <col min="2" max="13" width="14.28125" style="0" bestFit="1" customWidth="1"/>
    <col min="14" max="14" width="15.28125" style="0" bestFit="1" customWidth="1"/>
  </cols>
  <sheetData>
    <row r="1" spans="1:14" ht="15">
      <c r="A1" s="57"/>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v>3</v>
      </c>
      <c r="C4" s="177">
        <v>3</v>
      </c>
      <c r="D4" s="177">
        <v>3</v>
      </c>
      <c r="E4" s="177">
        <f>INT(E5/Calcs!$B$21)+1</f>
        <v>4</v>
      </c>
      <c r="F4" s="177">
        <f>INT(F5/Calcs!$B$21)+1</f>
        <v>4</v>
      </c>
      <c r="G4" s="177">
        <f>INT(G5/Calcs!$B$21)+1</f>
        <v>4</v>
      </c>
      <c r="H4" s="177">
        <v>4</v>
      </c>
      <c r="I4" s="177">
        <v>4</v>
      </c>
      <c r="J4" s="177">
        <v>4</v>
      </c>
      <c r="K4" s="177">
        <f>INT(K5/Calcs!$B$21)+1</f>
        <v>5</v>
      </c>
      <c r="L4" s="177">
        <f>INT(L5/Calcs!$B$21)+1</f>
        <v>5</v>
      </c>
      <c r="M4" s="177">
        <v>5</v>
      </c>
      <c r="N4" s="75"/>
    </row>
    <row r="5" spans="1:14" ht="15">
      <c r="A5" s="169" t="s">
        <v>284</v>
      </c>
      <c r="B5" s="173">
        <f>'FY 2 Best'!M5*1.05</f>
        <v>6363.000476755519</v>
      </c>
      <c r="C5" s="173">
        <f>B5*1.05</f>
        <v>6681.150500593296</v>
      </c>
      <c r="D5" s="173">
        <f aca="true" t="shared" si="0" ref="D5:M5">C5*1.05</f>
        <v>7015.208025622961</v>
      </c>
      <c r="E5" s="173">
        <f t="shared" si="0"/>
        <v>7365.968426904109</v>
      </c>
      <c r="F5" s="173">
        <f t="shared" si="0"/>
        <v>7734.2668482493145</v>
      </c>
      <c r="G5" s="173">
        <f t="shared" si="0"/>
        <v>8120.98019066178</v>
      </c>
      <c r="H5" s="173">
        <f t="shared" si="0"/>
        <v>8527.02920019487</v>
      </c>
      <c r="I5" s="173">
        <f t="shared" si="0"/>
        <v>8953.380660204613</v>
      </c>
      <c r="J5" s="173">
        <f t="shared" si="0"/>
        <v>9401.049693214845</v>
      </c>
      <c r="K5" s="173">
        <f t="shared" si="0"/>
        <v>9871.102177875588</v>
      </c>
      <c r="L5" s="173">
        <f t="shared" si="0"/>
        <v>10364.657286769367</v>
      </c>
      <c r="M5" s="173">
        <f t="shared" si="0"/>
        <v>10882.890151107835</v>
      </c>
      <c r="N5" s="127">
        <f>SUM(B5:M5)</f>
        <v>101280.68363815409</v>
      </c>
    </row>
    <row r="6" spans="1:14" ht="15">
      <c r="A6" s="169" t="s">
        <v>57</v>
      </c>
      <c r="B6" s="174">
        <v>1</v>
      </c>
      <c r="C6" s="174">
        <v>2</v>
      </c>
      <c r="D6" s="174">
        <v>3</v>
      </c>
      <c r="E6" s="174">
        <v>4</v>
      </c>
      <c r="F6" s="174">
        <v>5</v>
      </c>
      <c r="G6" s="174">
        <v>6</v>
      </c>
      <c r="H6" s="174">
        <v>7</v>
      </c>
      <c r="I6" s="174">
        <v>8</v>
      </c>
      <c r="J6" s="174">
        <v>9</v>
      </c>
      <c r="K6" s="174">
        <v>10</v>
      </c>
      <c r="L6" s="174">
        <v>11</v>
      </c>
      <c r="M6" s="174">
        <v>12</v>
      </c>
      <c r="N6" s="26"/>
    </row>
    <row r="7" spans="1:14" ht="15">
      <c r="A7" s="169" t="s">
        <v>55</v>
      </c>
      <c r="B7" s="31">
        <f>B5*$D$3</f>
        <v>1259874.0943975928</v>
      </c>
      <c r="C7" s="31">
        <f aca="true" t="shared" si="1" ref="C7:M7">C5*$D$3</f>
        <v>1322867.7991174725</v>
      </c>
      <c r="D7" s="31">
        <f t="shared" si="1"/>
        <v>1389011.1890733463</v>
      </c>
      <c r="E7" s="31">
        <f t="shared" si="1"/>
        <v>1458461.7485270137</v>
      </c>
      <c r="F7" s="31">
        <f t="shared" si="1"/>
        <v>1531384.8359533644</v>
      </c>
      <c r="G7" s="31">
        <f t="shared" si="1"/>
        <v>1607954.0777510325</v>
      </c>
      <c r="H7" s="31">
        <f t="shared" si="1"/>
        <v>1688351.781638584</v>
      </c>
      <c r="I7" s="31">
        <f t="shared" si="1"/>
        <v>1772769.3707205134</v>
      </c>
      <c r="J7" s="31">
        <f t="shared" si="1"/>
        <v>1861407.8392565395</v>
      </c>
      <c r="K7" s="31">
        <f t="shared" si="1"/>
        <v>1954478.2312193664</v>
      </c>
      <c r="L7" s="31">
        <f t="shared" si="1"/>
        <v>2052202.1427803347</v>
      </c>
      <c r="M7" s="31">
        <f t="shared" si="1"/>
        <v>2154812.249919351</v>
      </c>
      <c r="N7" s="32">
        <f>SUM(B7:M7)</f>
        <v>20053575.36035451</v>
      </c>
    </row>
    <row r="8" spans="1:14" ht="15">
      <c r="A8" s="133"/>
      <c r="B8" s="36"/>
      <c r="C8" s="36"/>
      <c r="D8" s="36"/>
      <c r="E8" s="36"/>
      <c r="F8" s="36"/>
      <c r="G8" s="36"/>
      <c r="H8" s="36"/>
      <c r="I8" s="36"/>
      <c r="J8" s="36"/>
      <c r="K8" s="36"/>
      <c r="L8" s="36"/>
      <c r="M8" s="36"/>
      <c r="N8" s="37"/>
    </row>
    <row r="9" spans="1:14" ht="15">
      <c r="A9" s="169" t="s">
        <v>56</v>
      </c>
      <c r="B9" s="21">
        <f>B5*$B$3</f>
        <v>878094.0657922616</v>
      </c>
      <c r="C9" s="21">
        <f aca="true" t="shared" si="2" ref="C9:M9">C5*$B$3</f>
        <v>921998.7690818749</v>
      </c>
      <c r="D9" s="21">
        <f t="shared" si="2"/>
        <v>968098.7075359686</v>
      </c>
      <c r="E9" s="21">
        <f t="shared" si="2"/>
        <v>1016503.642912767</v>
      </c>
      <c r="F9" s="21">
        <f t="shared" si="2"/>
        <v>1067328.8250584055</v>
      </c>
      <c r="G9" s="21">
        <f t="shared" si="2"/>
        <v>1120695.2663113256</v>
      </c>
      <c r="H9" s="21">
        <f t="shared" si="2"/>
        <v>1176730.029626892</v>
      </c>
      <c r="I9" s="21">
        <f t="shared" si="2"/>
        <v>1235566.5311082366</v>
      </c>
      <c r="J9" s="21">
        <f t="shared" si="2"/>
        <v>1297344.8576636487</v>
      </c>
      <c r="K9" s="21">
        <f t="shared" si="2"/>
        <v>1362212.100546831</v>
      </c>
      <c r="L9" s="21">
        <f t="shared" si="2"/>
        <v>1430322.7055741725</v>
      </c>
      <c r="M9" s="21">
        <f t="shared" si="2"/>
        <v>1501838.840852881</v>
      </c>
      <c r="N9" s="32">
        <f>SUM(B9:M9)</f>
        <v>13976734.342065265</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0</v>
      </c>
      <c r="D11" s="175">
        <v>0</v>
      </c>
      <c r="E11" s="175">
        <v>0</v>
      </c>
      <c r="F11" s="175">
        <v>0</v>
      </c>
      <c r="G11" s="175">
        <v>200000</v>
      </c>
      <c r="H11" s="175">
        <v>0</v>
      </c>
      <c r="I11" s="175">
        <v>0</v>
      </c>
      <c r="J11" s="175">
        <v>0</v>
      </c>
      <c r="K11" s="175">
        <v>200000</v>
      </c>
      <c r="L11" s="175">
        <v>0</v>
      </c>
      <c r="M11" s="175">
        <v>0</v>
      </c>
      <c r="N11" s="58">
        <f>SUM(B11:M11)</f>
        <v>400000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 aca="true" t="shared" si="3" ref="N13:N31">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13575</v>
      </c>
      <c r="C15" s="175">
        <v>13575</v>
      </c>
      <c r="D15" s="175">
        <v>13575</v>
      </c>
      <c r="E15" s="175">
        <v>18100</v>
      </c>
      <c r="F15" s="175">
        <v>18100</v>
      </c>
      <c r="G15" s="175">
        <v>18100</v>
      </c>
      <c r="H15" s="175">
        <v>18100</v>
      </c>
      <c r="I15" s="175">
        <v>18100</v>
      </c>
      <c r="J15" s="175">
        <v>18100</v>
      </c>
      <c r="K15" s="175">
        <v>22625</v>
      </c>
      <c r="L15" s="175">
        <v>22625</v>
      </c>
      <c r="M15" s="175">
        <v>22625</v>
      </c>
      <c r="N15" s="58">
        <f t="shared" si="3"/>
        <v>217200</v>
      </c>
    </row>
    <row r="16" spans="1:14" ht="15">
      <c r="A16" s="169" t="s">
        <v>199</v>
      </c>
      <c r="B16" s="175">
        <v>13575</v>
      </c>
      <c r="C16" s="175">
        <v>13575</v>
      </c>
      <c r="D16" s="175">
        <v>13575</v>
      </c>
      <c r="E16" s="175">
        <v>13575</v>
      </c>
      <c r="F16" s="175">
        <v>13575</v>
      </c>
      <c r="G16" s="175">
        <v>18100</v>
      </c>
      <c r="H16" s="175">
        <v>18100</v>
      </c>
      <c r="I16" s="175">
        <v>18100</v>
      </c>
      <c r="J16" s="175">
        <v>18100</v>
      </c>
      <c r="K16" s="175">
        <v>18100</v>
      </c>
      <c r="L16" s="175">
        <v>22625</v>
      </c>
      <c r="M16" s="175">
        <v>22625</v>
      </c>
      <c r="N16" s="58">
        <f t="shared" si="3"/>
        <v>203625</v>
      </c>
    </row>
    <row r="17" spans="1:14" ht="15">
      <c r="A17" s="169" t="s">
        <v>200</v>
      </c>
      <c r="B17" s="175">
        <v>13575</v>
      </c>
      <c r="C17" s="175">
        <v>13575</v>
      </c>
      <c r="D17" s="175">
        <v>13575</v>
      </c>
      <c r="E17" s="175">
        <v>13575</v>
      </c>
      <c r="F17" s="175">
        <v>13575</v>
      </c>
      <c r="G17" s="175">
        <v>13575</v>
      </c>
      <c r="H17" s="175">
        <v>18100</v>
      </c>
      <c r="I17" s="175">
        <v>18100</v>
      </c>
      <c r="J17" s="175">
        <v>18100</v>
      </c>
      <c r="K17" s="175">
        <v>18100</v>
      </c>
      <c r="L17" s="175">
        <v>18100</v>
      </c>
      <c r="M17" s="175">
        <v>22625</v>
      </c>
      <c r="N17" s="58">
        <f t="shared" si="3"/>
        <v>194575</v>
      </c>
    </row>
    <row r="18" spans="1:14" ht="15">
      <c r="A18" s="169" t="s">
        <v>201</v>
      </c>
      <c r="B18" s="175">
        <v>9050</v>
      </c>
      <c r="C18" s="175">
        <v>13575</v>
      </c>
      <c r="D18" s="175">
        <v>13575</v>
      </c>
      <c r="E18" s="175">
        <v>13575</v>
      </c>
      <c r="F18" s="175">
        <v>13575</v>
      </c>
      <c r="G18" s="175">
        <v>13575</v>
      </c>
      <c r="H18" s="175">
        <v>13575</v>
      </c>
      <c r="I18" s="175">
        <v>18100</v>
      </c>
      <c r="J18" s="175">
        <v>18100</v>
      </c>
      <c r="K18" s="175">
        <v>18100</v>
      </c>
      <c r="L18" s="175">
        <v>18100</v>
      </c>
      <c r="M18" s="175">
        <v>18100</v>
      </c>
      <c r="N18" s="58">
        <f>SUM(B18:M18)</f>
        <v>181000</v>
      </c>
    </row>
    <row r="19" spans="1:14" ht="15">
      <c r="A19" s="169" t="s">
        <v>203</v>
      </c>
      <c r="B19" s="175">
        <v>8800</v>
      </c>
      <c r="C19" s="175">
        <v>8800</v>
      </c>
      <c r="D19" s="175">
        <v>8800</v>
      </c>
      <c r="E19" s="175">
        <v>8800</v>
      </c>
      <c r="F19" s="175">
        <v>8800</v>
      </c>
      <c r="G19" s="175">
        <v>8800</v>
      </c>
      <c r="H19" s="175">
        <v>8800</v>
      </c>
      <c r="I19" s="175">
        <v>8800</v>
      </c>
      <c r="J19" s="175">
        <v>8800</v>
      </c>
      <c r="K19" s="175">
        <v>8800</v>
      </c>
      <c r="L19" s="175">
        <v>8800</v>
      </c>
      <c r="M19" s="175">
        <v>8800</v>
      </c>
      <c r="N19" s="58">
        <f>SUM(B19:M19)</f>
        <v>105600</v>
      </c>
    </row>
    <row r="20" spans="1:14" ht="15">
      <c r="A20" s="169" t="s">
        <v>202</v>
      </c>
      <c r="B20" s="175">
        <v>8800</v>
      </c>
      <c r="C20" s="175">
        <v>8800</v>
      </c>
      <c r="D20" s="175">
        <v>8800</v>
      </c>
      <c r="E20" s="175">
        <v>8800</v>
      </c>
      <c r="F20" s="175">
        <v>8800</v>
      </c>
      <c r="G20" s="175">
        <v>8800</v>
      </c>
      <c r="H20" s="175">
        <v>8800</v>
      </c>
      <c r="I20" s="175">
        <v>8800</v>
      </c>
      <c r="J20" s="175">
        <v>8800</v>
      </c>
      <c r="K20" s="175">
        <v>8800</v>
      </c>
      <c r="L20" s="175">
        <v>8800</v>
      </c>
      <c r="M20" s="175">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1403.326</v>
      </c>
      <c r="C27" s="175">
        <f aca="true" t="shared" si="4" ref="C27:M27">(C4*300*30*0.007469)*2+1000</f>
        <v>1403.326</v>
      </c>
      <c r="D27" s="175">
        <f t="shared" si="4"/>
        <v>1403.326</v>
      </c>
      <c r="E27" s="175">
        <f t="shared" si="4"/>
        <v>1537.768</v>
      </c>
      <c r="F27" s="175">
        <f t="shared" si="4"/>
        <v>1537.768</v>
      </c>
      <c r="G27" s="175">
        <f t="shared" si="4"/>
        <v>1537.768</v>
      </c>
      <c r="H27" s="175">
        <f t="shared" si="4"/>
        <v>1537.768</v>
      </c>
      <c r="I27" s="175">
        <f t="shared" si="4"/>
        <v>1537.768</v>
      </c>
      <c r="J27" s="175">
        <f t="shared" si="4"/>
        <v>1537.768</v>
      </c>
      <c r="K27" s="175">
        <f t="shared" si="4"/>
        <v>1672.21</v>
      </c>
      <c r="L27" s="175">
        <f t="shared" si="4"/>
        <v>1672.21</v>
      </c>
      <c r="M27" s="175">
        <f t="shared" si="4"/>
        <v>1672.21</v>
      </c>
      <c r="N27" s="58">
        <f t="shared" si="3"/>
        <v>18453.215999999997</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f aca="true" t="shared" si="5" ref="B31:M31">6500+2*(B5/2)</f>
        <v>12863.000476755518</v>
      </c>
      <c r="C31" s="175">
        <f t="shared" si="5"/>
        <v>13181.150500593296</v>
      </c>
      <c r="D31" s="175">
        <f t="shared" si="5"/>
        <v>13515.20802562296</v>
      </c>
      <c r="E31" s="175">
        <f t="shared" si="5"/>
        <v>13865.96842690411</v>
      </c>
      <c r="F31" s="175">
        <f t="shared" si="5"/>
        <v>14234.266848249314</v>
      </c>
      <c r="G31" s="175">
        <f t="shared" si="5"/>
        <v>14620.98019066178</v>
      </c>
      <c r="H31" s="175">
        <f t="shared" si="5"/>
        <v>15027.02920019487</v>
      </c>
      <c r="I31" s="175">
        <f t="shared" si="5"/>
        <v>15453.380660204613</v>
      </c>
      <c r="J31" s="175">
        <f t="shared" si="5"/>
        <v>15901.049693214845</v>
      </c>
      <c r="K31" s="175">
        <f t="shared" si="5"/>
        <v>16371.102177875588</v>
      </c>
      <c r="L31" s="175">
        <f t="shared" si="5"/>
        <v>16864.65728676937</v>
      </c>
      <c r="M31" s="175">
        <f t="shared" si="5"/>
        <v>17382.890151107837</v>
      </c>
      <c r="N31" s="58">
        <f t="shared" si="3"/>
        <v>179280.68363815406</v>
      </c>
    </row>
    <row r="32" spans="1:14" ht="15">
      <c r="A32" s="170" t="s">
        <v>59</v>
      </c>
      <c r="B32" s="175">
        <f aca="true" t="shared" si="6" ref="B32:M32">3400+1*(B4/2)</f>
        <v>3401.5</v>
      </c>
      <c r="C32" s="175">
        <f t="shared" si="6"/>
        <v>3401.5</v>
      </c>
      <c r="D32" s="175">
        <f t="shared" si="6"/>
        <v>3401.5</v>
      </c>
      <c r="E32" s="175">
        <f t="shared" si="6"/>
        <v>3402</v>
      </c>
      <c r="F32" s="175">
        <f t="shared" si="6"/>
        <v>3402</v>
      </c>
      <c r="G32" s="175">
        <f t="shared" si="6"/>
        <v>3402</v>
      </c>
      <c r="H32" s="175">
        <f t="shared" si="6"/>
        <v>3402</v>
      </c>
      <c r="I32" s="175">
        <f t="shared" si="6"/>
        <v>3402</v>
      </c>
      <c r="J32" s="175">
        <f t="shared" si="6"/>
        <v>3402</v>
      </c>
      <c r="K32" s="175">
        <f t="shared" si="6"/>
        <v>3402.5</v>
      </c>
      <c r="L32" s="175">
        <f t="shared" si="6"/>
        <v>3402.5</v>
      </c>
      <c r="M32" s="175">
        <f t="shared" si="6"/>
        <v>3402.5</v>
      </c>
      <c r="N32" s="32">
        <f>SUM(B32:M32)</f>
        <v>40824</v>
      </c>
    </row>
    <row r="33" spans="1:14" ht="15.75" thickBot="1">
      <c r="A33" s="170" t="s">
        <v>58</v>
      </c>
      <c r="B33" s="175">
        <f aca="true" t="shared" si="7" ref="B33:M33">3400+1*(B5/2)</f>
        <v>6581.500238377759</v>
      </c>
      <c r="C33" s="175">
        <f t="shared" si="7"/>
        <v>6740.575250296648</v>
      </c>
      <c r="D33" s="175">
        <f t="shared" si="7"/>
        <v>6907.60401281148</v>
      </c>
      <c r="E33" s="175">
        <f t="shared" si="7"/>
        <v>7082.984213452055</v>
      </c>
      <c r="F33" s="175">
        <f t="shared" si="7"/>
        <v>7267.133424124657</v>
      </c>
      <c r="G33" s="175">
        <f t="shared" si="7"/>
        <v>7460.49009533089</v>
      </c>
      <c r="H33" s="175">
        <f t="shared" si="7"/>
        <v>7663.514600097435</v>
      </c>
      <c r="I33" s="175">
        <f t="shared" si="7"/>
        <v>7876.690330102307</v>
      </c>
      <c r="J33" s="175">
        <f t="shared" si="7"/>
        <v>8100.524846607423</v>
      </c>
      <c r="K33" s="175">
        <f t="shared" si="7"/>
        <v>8335.551088937795</v>
      </c>
      <c r="L33" s="175">
        <f t="shared" si="7"/>
        <v>8582.328643384684</v>
      </c>
      <c r="M33" s="175">
        <f t="shared" si="7"/>
        <v>8841.445075553918</v>
      </c>
      <c r="N33" s="35">
        <f>SUM(B33:M33)</f>
        <v>91440.34181907703</v>
      </c>
    </row>
    <row r="34" spans="1:14" ht="15.75" thickBot="1">
      <c r="A34" s="171" t="s">
        <v>94</v>
      </c>
      <c r="B34" s="22">
        <f aca="true" t="shared" si="8" ref="B34:M34">B7-SUM(B9:B33)</f>
        <v>171488.70189019805</v>
      </c>
      <c r="C34" s="22">
        <f t="shared" si="8"/>
        <v>185575.478284708</v>
      </c>
      <c r="D34" s="22">
        <f t="shared" si="8"/>
        <v>205117.84349894337</v>
      </c>
      <c r="E34" s="22">
        <f t="shared" si="8"/>
        <v>220977.3849738906</v>
      </c>
      <c r="F34" s="22">
        <f t="shared" si="8"/>
        <v>242522.8426225849</v>
      </c>
      <c r="G34" s="22">
        <f t="shared" si="8"/>
        <v>60620.57315371442</v>
      </c>
      <c r="H34" s="22">
        <f t="shared" si="8"/>
        <v>279849.4402113999</v>
      </c>
      <c r="I34" s="22">
        <f t="shared" si="8"/>
        <v>300266.0006219698</v>
      </c>
      <c r="J34" s="22">
        <f t="shared" si="8"/>
        <v>326454.6390530686</v>
      </c>
      <c r="K34" s="22">
        <f t="shared" si="8"/>
        <v>149292.76740572206</v>
      </c>
      <c r="L34" s="22">
        <f t="shared" si="8"/>
        <v>373640.7412760081</v>
      </c>
      <c r="M34" s="22">
        <f t="shared" si="8"/>
        <v>399432.3638398084</v>
      </c>
      <c r="N34" s="23">
        <f>SUM(B34:M34)</f>
        <v>2915238.776832016</v>
      </c>
    </row>
    <row r="37" spans="1:14" ht="15">
      <c r="A37" s="247" t="s">
        <v>290</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3" spans="1:14" ht="15">
      <c r="A43" s="247"/>
      <c r="B43" s="247"/>
      <c r="C43" s="247"/>
      <c r="D43" s="247"/>
      <c r="E43" s="247"/>
      <c r="F43" s="247"/>
      <c r="G43" s="247"/>
      <c r="H43" s="247"/>
      <c r="I43" s="247"/>
      <c r="J43" s="247"/>
      <c r="K43" s="247"/>
      <c r="L43" s="247"/>
      <c r="M43" s="247"/>
      <c r="N43" s="247"/>
    </row>
    <row r="45" spans="2:7" ht="15">
      <c r="B45" s="248" t="s">
        <v>288</v>
      </c>
      <c r="C45" s="248"/>
      <c r="D45" s="248"/>
      <c r="E45" s="248"/>
      <c r="F45" s="248"/>
      <c r="G45" s="248"/>
    </row>
  </sheetData>
  <sheetProtection password="DC55" sheet="1" objects="1" scenarios="1" formatCells="0" formatColumns="0" formatRows="0" insertColumns="0" insertRows="0" insertHyperlinks="0" deleteColumns="0" deleteRows="0" selectLockedCells="1" sort="0"/>
  <mergeCells count="2">
    <mergeCell ref="A37:N43"/>
    <mergeCell ref="B45:G45"/>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44"/>
  <sheetViews>
    <sheetView view="pageLayout" workbookViewId="0" topLeftCell="A1">
      <selection activeCell="A2" sqref="A2"/>
    </sheetView>
  </sheetViews>
  <sheetFormatPr defaultColWidth="9.140625" defaultRowHeight="15"/>
  <cols>
    <col min="1" max="1" width="28.00390625" style="0" customWidth="1"/>
    <col min="2" max="13" width="14.28125" style="0" bestFit="1" customWidth="1"/>
    <col min="14" max="14" width="15.28125" style="0" bestFit="1" customWidth="1"/>
  </cols>
  <sheetData>
    <row r="1" spans="1:14" ht="15">
      <c r="A1" s="63"/>
      <c r="B1" s="101" t="s">
        <v>15</v>
      </c>
      <c r="C1" s="101" t="s">
        <v>35</v>
      </c>
      <c r="D1" s="101" t="s">
        <v>54</v>
      </c>
      <c r="E1" s="125"/>
      <c r="F1" s="125"/>
      <c r="G1" s="125"/>
      <c r="H1" s="125"/>
      <c r="I1" s="125"/>
      <c r="J1" s="125"/>
      <c r="K1" s="125"/>
      <c r="L1" s="125"/>
      <c r="M1" s="125"/>
      <c r="N1" s="126"/>
    </row>
    <row r="2" spans="1:14" ht="15">
      <c r="A2" s="169" t="s">
        <v>281</v>
      </c>
      <c r="B2" s="172">
        <f>Calcs!E22</f>
        <v>11.504463131543012</v>
      </c>
      <c r="C2" s="172">
        <f>Calcs!F22</f>
        <v>4.995536868456988</v>
      </c>
      <c r="D2" s="122">
        <f>B2+C2</f>
        <v>16.5</v>
      </c>
      <c r="E2" s="74"/>
      <c r="F2" s="74"/>
      <c r="G2" s="74"/>
      <c r="H2" s="74"/>
      <c r="I2" s="74"/>
      <c r="J2" s="74"/>
      <c r="K2" s="74"/>
      <c r="L2" s="74"/>
      <c r="M2" s="74"/>
      <c r="N2" s="75"/>
    </row>
    <row r="3" spans="1:14" ht="15">
      <c r="A3" s="169" t="s">
        <v>282</v>
      </c>
      <c r="B3" s="172">
        <f>Calcs!E23</f>
        <v>138</v>
      </c>
      <c r="C3" s="172">
        <f>Calcs!F23</f>
        <v>60</v>
      </c>
      <c r="D3" s="122">
        <f>SUM(B3:C3)</f>
        <v>198</v>
      </c>
      <c r="E3" s="74"/>
      <c r="F3" s="74"/>
      <c r="G3" s="74"/>
      <c r="H3" s="74"/>
      <c r="I3" s="74"/>
      <c r="J3" s="74"/>
      <c r="K3" s="74"/>
      <c r="L3" s="74"/>
      <c r="M3" s="74"/>
      <c r="N3" s="75"/>
    </row>
    <row r="4" spans="1:14" ht="15">
      <c r="A4" s="169" t="s">
        <v>283</v>
      </c>
      <c r="B4" s="177">
        <v>5</v>
      </c>
      <c r="C4" s="177">
        <f>INT(C5/Calcs!$B$21)+1</f>
        <v>6</v>
      </c>
      <c r="D4" s="177">
        <f>INT(D5/Calcs!$B$21)+1</f>
        <v>6</v>
      </c>
      <c r="E4" s="177">
        <v>6</v>
      </c>
      <c r="F4" s="177">
        <v>6</v>
      </c>
      <c r="G4" s="177">
        <f>INT(G5/Calcs!$B$21)+1</f>
        <v>7</v>
      </c>
      <c r="H4" s="177">
        <v>7</v>
      </c>
      <c r="I4" s="177">
        <v>7</v>
      </c>
      <c r="J4" s="177">
        <f>INT(J5/Calcs!$B$21)+1</f>
        <v>8</v>
      </c>
      <c r="K4" s="177">
        <v>8</v>
      </c>
      <c r="L4" s="177">
        <v>8</v>
      </c>
      <c r="M4" s="177">
        <v>9</v>
      </c>
      <c r="N4" s="75"/>
    </row>
    <row r="5" spans="1:14" ht="15">
      <c r="A5" s="169" t="s">
        <v>284</v>
      </c>
      <c r="B5" s="173">
        <f>'FY 3 Best'!M5*1.05</f>
        <v>11427.034658663228</v>
      </c>
      <c r="C5" s="173">
        <f>B5*1.05</f>
        <v>11998.38639159639</v>
      </c>
      <c r="D5" s="173">
        <f aca="true" t="shared" si="0" ref="D5:M5">C5*1.05</f>
        <v>12598.30571117621</v>
      </c>
      <c r="E5" s="173">
        <f t="shared" si="0"/>
        <v>13228.22099673502</v>
      </c>
      <c r="F5" s="173">
        <f t="shared" si="0"/>
        <v>13889.632046571773</v>
      </c>
      <c r="G5" s="173">
        <f t="shared" si="0"/>
        <v>14584.113648900362</v>
      </c>
      <c r="H5" s="173">
        <f t="shared" si="0"/>
        <v>15313.319331345381</v>
      </c>
      <c r="I5" s="173">
        <f t="shared" si="0"/>
        <v>16078.985297912652</v>
      </c>
      <c r="J5" s="173">
        <f t="shared" si="0"/>
        <v>16882.934562808285</v>
      </c>
      <c r="K5" s="173">
        <f t="shared" si="0"/>
        <v>17727.0812909487</v>
      </c>
      <c r="L5" s="173">
        <f t="shared" si="0"/>
        <v>18613.435355496134</v>
      </c>
      <c r="M5" s="173">
        <f t="shared" si="0"/>
        <v>19544.107123270944</v>
      </c>
      <c r="N5" s="127">
        <f>SUM(B5:M5)</f>
        <v>181885.55641542506</v>
      </c>
    </row>
    <row r="6" spans="1:14" ht="15">
      <c r="A6" s="169" t="s">
        <v>57</v>
      </c>
      <c r="B6" s="174">
        <v>1</v>
      </c>
      <c r="C6" s="174">
        <v>2</v>
      </c>
      <c r="D6" s="174">
        <v>3</v>
      </c>
      <c r="E6" s="174">
        <v>4</v>
      </c>
      <c r="F6" s="174">
        <v>5</v>
      </c>
      <c r="G6" s="174">
        <v>6</v>
      </c>
      <c r="H6" s="174">
        <v>7</v>
      </c>
      <c r="I6" s="174">
        <v>8</v>
      </c>
      <c r="J6" s="174">
        <v>9</v>
      </c>
      <c r="K6" s="174">
        <v>10</v>
      </c>
      <c r="L6" s="174">
        <v>11</v>
      </c>
      <c r="M6" s="174">
        <v>12</v>
      </c>
      <c r="N6" s="26"/>
    </row>
    <row r="7" spans="1:14" ht="15">
      <c r="A7" s="169" t="s">
        <v>55</v>
      </c>
      <c r="B7" s="31">
        <f>B5*$D$3</f>
        <v>2262552.8624153193</v>
      </c>
      <c r="C7" s="31">
        <f aca="true" t="shared" si="1" ref="C7:M7">C5*$D$3</f>
        <v>2375680.5055360855</v>
      </c>
      <c r="D7" s="31">
        <f t="shared" si="1"/>
        <v>2494464.53081289</v>
      </c>
      <c r="E7" s="31">
        <f t="shared" si="1"/>
        <v>2619187.757353534</v>
      </c>
      <c r="F7" s="31">
        <f t="shared" si="1"/>
        <v>2750147.145221211</v>
      </c>
      <c r="G7" s="31">
        <f t="shared" si="1"/>
        <v>2887654.5024822718</v>
      </c>
      <c r="H7" s="31">
        <f t="shared" si="1"/>
        <v>3032037.2276063855</v>
      </c>
      <c r="I7" s="31">
        <f t="shared" si="1"/>
        <v>3183639.088986705</v>
      </c>
      <c r="J7" s="31">
        <f t="shared" si="1"/>
        <v>3342821.04343604</v>
      </c>
      <c r="K7" s="31">
        <f t="shared" si="1"/>
        <v>3509962.0956078423</v>
      </c>
      <c r="L7" s="31">
        <f t="shared" si="1"/>
        <v>3685460.2003882346</v>
      </c>
      <c r="M7" s="31">
        <f t="shared" si="1"/>
        <v>3869733.210407647</v>
      </c>
      <c r="N7" s="32">
        <f>SUM(B7:M7)</f>
        <v>36013340.17025416</v>
      </c>
    </row>
    <row r="8" spans="1:14" ht="15">
      <c r="A8" s="133"/>
      <c r="B8" s="36"/>
      <c r="C8" s="36"/>
      <c r="D8" s="36"/>
      <c r="E8" s="36"/>
      <c r="F8" s="36"/>
      <c r="G8" s="36"/>
      <c r="H8" s="36"/>
      <c r="I8" s="36"/>
      <c r="J8" s="36"/>
      <c r="K8" s="36"/>
      <c r="L8" s="36"/>
      <c r="M8" s="36"/>
      <c r="N8" s="37"/>
    </row>
    <row r="9" spans="1:14" ht="15">
      <c r="A9" s="169" t="s">
        <v>56</v>
      </c>
      <c r="B9" s="21">
        <f>B5*$B$3</f>
        <v>1576930.7828955255</v>
      </c>
      <c r="C9" s="21">
        <f aca="true" t="shared" si="2" ref="C9:M9">C5*$B$3</f>
        <v>1655777.3220403017</v>
      </c>
      <c r="D9" s="21">
        <f t="shared" si="2"/>
        <v>1738566.1881423169</v>
      </c>
      <c r="E9" s="21">
        <f t="shared" si="2"/>
        <v>1825494.4975494328</v>
      </c>
      <c r="F9" s="21">
        <f t="shared" si="2"/>
        <v>1916769.2224269046</v>
      </c>
      <c r="G9" s="21">
        <f t="shared" si="2"/>
        <v>2012607.68354825</v>
      </c>
      <c r="H9" s="21">
        <f t="shared" si="2"/>
        <v>2113238.0677256626</v>
      </c>
      <c r="I9" s="21">
        <f t="shared" si="2"/>
        <v>2218899.971111946</v>
      </c>
      <c r="J9" s="21">
        <f t="shared" si="2"/>
        <v>2329844.969667543</v>
      </c>
      <c r="K9" s="21">
        <f t="shared" si="2"/>
        <v>2446337.2181509207</v>
      </c>
      <c r="L9" s="21">
        <f t="shared" si="2"/>
        <v>2568654.0790584665</v>
      </c>
      <c r="M9" s="21">
        <f t="shared" si="2"/>
        <v>2697086.7830113904</v>
      </c>
      <c r="N9" s="32">
        <f>SUM(B9:M9)</f>
        <v>25100206.785328664</v>
      </c>
    </row>
    <row r="10" spans="1:14" ht="15">
      <c r="A10" s="169" t="s">
        <v>215</v>
      </c>
      <c r="B10" s="175">
        <v>0</v>
      </c>
      <c r="C10" s="175">
        <v>0</v>
      </c>
      <c r="D10" s="175">
        <v>0</v>
      </c>
      <c r="E10" s="175">
        <v>0</v>
      </c>
      <c r="F10" s="175">
        <v>0</v>
      </c>
      <c r="G10" s="175">
        <v>0</v>
      </c>
      <c r="H10" s="175">
        <v>0</v>
      </c>
      <c r="I10" s="175">
        <v>0</v>
      </c>
      <c r="J10" s="175">
        <v>0</v>
      </c>
      <c r="K10" s="175">
        <v>0</v>
      </c>
      <c r="L10" s="175">
        <v>0</v>
      </c>
      <c r="M10" s="175">
        <v>0</v>
      </c>
      <c r="N10" s="32">
        <f>SUM(B10:M10)</f>
        <v>0</v>
      </c>
    </row>
    <row r="11" spans="1:14" ht="15">
      <c r="A11" s="169" t="s">
        <v>194</v>
      </c>
      <c r="B11" s="175">
        <v>0</v>
      </c>
      <c r="C11" s="175">
        <v>200000</v>
      </c>
      <c r="D11" s="175">
        <v>0</v>
      </c>
      <c r="E11" s="175"/>
      <c r="F11" s="175">
        <v>200000</v>
      </c>
      <c r="G11" s="175">
        <v>0</v>
      </c>
      <c r="H11" s="175">
        <v>0</v>
      </c>
      <c r="I11" s="175">
        <v>200000</v>
      </c>
      <c r="J11" s="175">
        <v>0</v>
      </c>
      <c r="K11" s="175">
        <v>0</v>
      </c>
      <c r="L11" s="175">
        <v>0</v>
      </c>
      <c r="M11" s="175">
        <v>200000</v>
      </c>
      <c r="N11" s="58">
        <f>SUM(B11:M11)</f>
        <v>800000</v>
      </c>
    </row>
    <row r="12" spans="1:14" ht="15">
      <c r="A12" s="169" t="s">
        <v>208</v>
      </c>
      <c r="B12" s="175">
        <v>0</v>
      </c>
      <c r="C12" s="175">
        <v>0</v>
      </c>
      <c r="D12" s="175">
        <v>0</v>
      </c>
      <c r="E12" s="175">
        <v>0</v>
      </c>
      <c r="F12" s="175">
        <v>0</v>
      </c>
      <c r="G12" s="175">
        <v>0</v>
      </c>
      <c r="H12" s="175">
        <v>0</v>
      </c>
      <c r="I12" s="175">
        <v>0</v>
      </c>
      <c r="J12" s="175">
        <v>0</v>
      </c>
      <c r="K12" s="175">
        <v>0</v>
      </c>
      <c r="L12" s="175">
        <v>0</v>
      </c>
      <c r="M12" s="175">
        <v>0</v>
      </c>
      <c r="N12" s="58">
        <f>SUM(B12:M12)</f>
        <v>0</v>
      </c>
    </row>
    <row r="13" spans="1:14" ht="15">
      <c r="A13" s="169" t="s">
        <v>47</v>
      </c>
      <c r="B13" s="175">
        <v>25000</v>
      </c>
      <c r="C13" s="175">
        <v>25000</v>
      </c>
      <c r="D13" s="175">
        <v>25000</v>
      </c>
      <c r="E13" s="175">
        <v>25000</v>
      </c>
      <c r="F13" s="175">
        <v>25000</v>
      </c>
      <c r="G13" s="175">
        <v>25000</v>
      </c>
      <c r="H13" s="175">
        <v>25000</v>
      </c>
      <c r="I13" s="175">
        <v>25000</v>
      </c>
      <c r="J13" s="175">
        <v>25000</v>
      </c>
      <c r="K13" s="175">
        <v>25000</v>
      </c>
      <c r="L13" s="175">
        <v>25000</v>
      </c>
      <c r="M13" s="175">
        <v>25000</v>
      </c>
      <c r="N13" s="58">
        <f aca="true" t="shared" si="3" ref="N13:N31">SUM(B13:M13)</f>
        <v>300000</v>
      </c>
    </row>
    <row r="14" spans="1:14" ht="15">
      <c r="A14" s="169" t="s">
        <v>285</v>
      </c>
      <c r="B14" s="175">
        <v>0</v>
      </c>
      <c r="C14" s="175">
        <v>0</v>
      </c>
      <c r="D14" s="175">
        <v>0</v>
      </c>
      <c r="E14" s="175">
        <v>0</v>
      </c>
      <c r="F14" s="175">
        <v>0</v>
      </c>
      <c r="G14" s="175">
        <v>0</v>
      </c>
      <c r="H14" s="175">
        <v>0</v>
      </c>
      <c r="I14" s="175">
        <v>0</v>
      </c>
      <c r="J14" s="175">
        <v>0</v>
      </c>
      <c r="K14" s="175">
        <v>0</v>
      </c>
      <c r="L14" s="175">
        <v>0</v>
      </c>
      <c r="M14" s="175">
        <v>0</v>
      </c>
      <c r="N14" s="58">
        <f t="shared" si="3"/>
        <v>0</v>
      </c>
    </row>
    <row r="15" spans="1:14" ht="15">
      <c r="A15" s="169" t="s">
        <v>198</v>
      </c>
      <c r="B15" s="175">
        <v>22625</v>
      </c>
      <c r="C15" s="175">
        <v>22625</v>
      </c>
      <c r="D15" s="175">
        <v>27150</v>
      </c>
      <c r="E15" s="175">
        <v>27150</v>
      </c>
      <c r="F15" s="175">
        <v>27150</v>
      </c>
      <c r="G15" s="175">
        <v>31675</v>
      </c>
      <c r="H15" s="175">
        <v>31675</v>
      </c>
      <c r="I15" s="175">
        <v>31675</v>
      </c>
      <c r="J15" s="175">
        <v>36200</v>
      </c>
      <c r="K15" s="175">
        <v>36200</v>
      </c>
      <c r="L15" s="175">
        <v>36200</v>
      </c>
      <c r="M15" s="175">
        <v>40725</v>
      </c>
      <c r="N15" s="58">
        <f t="shared" si="3"/>
        <v>371050</v>
      </c>
    </row>
    <row r="16" spans="1:14" ht="15">
      <c r="A16" s="169" t="s">
        <v>199</v>
      </c>
      <c r="B16" s="175">
        <v>22625</v>
      </c>
      <c r="C16" s="175">
        <v>22625</v>
      </c>
      <c r="D16" s="175">
        <v>22625</v>
      </c>
      <c r="E16" s="175">
        <v>27150</v>
      </c>
      <c r="F16" s="175">
        <v>27150</v>
      </c>
      <c r="G16" s="175">
        <v>27150</v>
      </c>
      <c r="H16" s="175">
        <v>31675</v>
      </c>
      <c r="I16" s="175">
        <v>31675</v>
      </c>
      <c r="J16" s="175">
        <v>31675</v>
      </c>
      <c r="K16" s="175">
        <v>36200</v>
      </c>
      <c r="L16" s="175">
        <v>36200</v>
      </c>
      <c r="M16" s="175">
        <v>36200</v>
      </c>
      <c r="N16" s="58">
        <f t="shared" si="3"/>
        <v>352950</v>
      </c>
    </row>
    <row r="17" spans="1:14" ht="15">
      <c r="A17" s="169" t="s">
        <v>200</v>
      </c>
      <c r="B17" s="175">
        <v>22625</v>
      </c>
      <c r="C17" s="175">
        <v>22625</v>
      </c>
      <c r="D17" s="175">
        <v>22625</v>
      </c>
      <c r="E17" s="175">
        <v>27150</v>
      </c>
      <c r="F17" s="175">
        <v>27150</v>
      </c>
      <c r="G17" s="175">
        <v>27150</v>
      </c>
      <c r="H17" s="175">
        <v>27150</v>
      </c>
      <c r="I17" s="175">
        <v>31675</v>
      </c>
      <c r="J17" s="175">
        <v>31675</v>
      </c>
      <c r="K17" s="175">
        <v>31675</v>
      </c>
      <c r="L17" s="175">
        <v>36200</v>
      </c>
      <c r="M17" s="175">
        <v>36200</v>
      </c>
      <c r="N17" s="58">
        <f t="shared" si="3"/>
        <v>343900</v>
      </c>
    </row>
    <row r="18" spans="1:14" ht="15">
      <c r="A18" s="169" t="s">
        <v>201</v>
      </c>
      <c r="B18" s="175">
        <v>22625</v>
      </c>
      <c r="C18" s="175">
        <v>22625</v>
      </c>
      <c r="D18" s="175">
        <v>22625</v>
      </c>
      <c r="E18" s="175">
        <v>22625</v>
      </c>
      <c r="F18" s="175">
        <v>27150</v>
      </c>
      <c r="G18" s="175">
        <v>27150</v>
      </c>
      <c r="H18" s="175">
        <v>27150</v>
      </c>
      <c r="I18" s="175">
        <v>27150</v>
      </c>
      <c r="J18" s="175">
        <v>31675</v>
      </c>
      <c r="K18" s="175">
        <v>31675</v>
      </c>
      <c r="L18" s="175">
        <v>36200</v>
      </c>
      <c r="M18" s="175">
        <v>36200</v>
      </c>
      <c r="N18" s="58">
        <f>SUM(B18:M18)</f>
        <v>334850</v>
      </c>
    </row>
    <row r="19" spans="1:14" ht="15">
      <c r="A19" s="169" t="s">
        <v>203</v>
      </c>
      <c r="B19" s="175">
        <v>8800</v>
      </c>
      <c r="C19" s="175">
        <v>8800</v>
      </c>
      <c r="D19" s="175">
        <v>8800</v>
      </c>
      <c r="E19" s="175">
        <v>8800</v>
      </c>
      <c r="F19" s="175">
        <v>8800</v>
      </c>
      <c r="G19" s="175">
        <v>8800</v>
      </c>
      <c r="H19" s="175">
        <v>8800</v>
      </c>
      <c r="I19" s="175">
        <v>8800</v>
      </c>
      <c r="J19" s="175">
        <v>8800</v>
      </c>
      <c r="K19" s="175">
        <v>8800</v>
      </c>
      <c r="L19" s="175">
        <v>8800</v>
      </c>
      <c r="M19" s="175">
        <v>8800</v>
      </c>
      <c r="N19" s="58">
        <f>SUM(B19:M19)</f>
        <v>105600</v>
      </c>
    </row>
    <row r="20" spans="1:14" ht="15">
      <c r="A20" s="169" t="s">
        <v>202</v>
      </c>
      <c r="B20" s="175">
        <v>8800</v>
      </c>
      <c r="C20" s="175">
        <v>8800</v>
      </c>
      <c r="D20" s="175">
        <v>8800</v>
      </c>
      <c r="E20" s="175">
        <v>8800</v>
      </c>
      <c r="F20" s="175">
        <v>8800</v>
      </c>
      <c r="G20" s="175">
        <v>8800</v>
      </c>
      <c r="H20" s="175">
        <v>8800</v>
      </c>
      <c r="I20" s="175">
        <v>8800</v>
      </c>
      <c r="J20" s="175">
        <v>8800</v>
      </c>
      <c r="K20" s="175">
        <v>8800</v>
      </c>
      <c r="L20" s="175">
        <v>8800</v>
      </c>
      <c r="M20" s="175">
        <v>8800</v>
      </c>
      <c r="N20" s="58">
        <f>SUM(B20:M20)</f>
        <v>105600</v>
      </c>
    </row>
    <row r="21" spans="1:14" ht="15">
      <c r="A21" s="169" t="s">
        <v>286</v>
      </c>
      <c r="B21" s="175">
        <v>11000</v>
      </c>
      <c r="C21" s="175">
        <v>11000</v>
      </c>
      <c r="D21" s="175">
        <v>11000</v>
      </c>
      <c r="E21" s="175">
        <v>11000</v>
      </c>
      <c r="F21" s="175">
        <v>11000</v>
      </c>
      <c r="G21" s="175">
        <v>11000</v>
      </c>
      <c r="H21" s="175">
        <v>11000</v>
      </c>
      <c r="I21" s="175">
        <v>11000</v>
      </c>
      <c r="J21" s="175">
        <v>11000</v>
      </c>
      <c r="K21" s="175">
        <v>11000</v>
      </c>
      <c r="L21" s="175">
        <v>11000</v>
      </c>
      <c r="M21" s="175">
        <v>11000</v>
      </c>
      <c r="N21" s="58">
        <f>SUM(B21:M21)</f>
        <v>132000</v>
      </c>
    </row>
    <row r="22" spans="1:14" ht="15">
      <c r="A22" s="169" t="s">
        <v>67</v>
      </c>
      <c r="B22" s="175">
        <v>11000</v>
      </c>
      <c r="C22" s="175">
        <v>11000</v>
      </c>
      <c r="D22" s="175">
        <v>11000</v>
      </c>
      <c r="E22" s="175">
        <v>11000</v>
      </c>
      <c r="F22" s="175">
        <v>11000</v>
      </c>
      <c r="G22" s="175">
        <v>11000</v>
      </c>
      <c r="H22" s="175">
        <v>11000</v>
      </c>
      <c r="I22" s="175">
        <v>11000</v>
      </c>
      <c r="J22" s="175">
        <v>11000</v>
      </c>
      <c r="K22" s="175">
        <v>11000</v>
      </c>
      <c r="L22" s="175">
        <v>11000</v>
      </c>
      <c r="M22" s="175">
        <v>11000</v>
      </c>
      <c r="N22" s="58">
        <f>SUM(B22:M22)</f>
        <v>132000</v>
      </c>
    </row>
    <row r="23" spans="1:14" ht="15">
      <c r="A23" s="169" t="s">
        <v>43</v>
      </c>
      <c r="B23" s="175">
        <v>10000</v>
      </c>
      <c r="C23" s="175">
        <v>10000</v>
      </c>
      <c r="D23" s="175">
        <v>10000</v>
      </c>
      <c r="E23" s="175">
        <v>10000</v>
      </c>
      <c r="F23" s="175">
        <v>10000</v>
      </c>
      <c r="G23" s="175">
        <v>10000</v>
      </c>
      <c r="H23" s="175">
        <v>10000</v>
      </c>
      <c r="I23" s="175">
        <v>10000</v>
      </c>
      <c r="J23" s="175">
        <v>10000</v>
      </c>
      <c r="K23" s="175">
        <v>10000</v>
      </c>
      <c r="L23" s="175">
        <v>10000</v>
      </c>
      <c r="M23" s="175">
        <v>10000</v>
      </c>
      <c r="N23" s="58">
        <f t="shared" si="3"/>
        <v>120000</v>
      </c>
    </row>
    <row r="24" spans="1:14" ht="15">
      <c r="A24" s="169" t="s">
        <v>62</v>
      </c>
      <c r="B24" s="175">
        <v>2500</v>
      </c>
      <c r="C24" s="175">
        <v>2500</v>
      </c>
      <c r="D24" s="175">
        <v>2500</v>
      </c>
      <c r="E24" s="175">
        <v>2500</v>
      </c>
      <c r="F24" s="175">
        <v>2500</v>
      </c>
      <c r="G24" s="175">
        <v>2500</v>
      </c>
      <c r="H24" s="175">
        <v>2500</v>
      </c>
      <c r="I24" s="175">
        <v>2500</v>
      </c>
      <c r="J24" s="175">
        <v>2500</v>
      </c>
      <c r="K24" s="175">
        <v>2500</v>
      </c>
      <c r="L24" s="175">
        <v>2500</v>
      </c>
      <c r="M24" s="175">
        <v>2500</v>
      </c>
      <c r="N24" s="58">
        <f t="shared" si="3"/>
        <v>30000</v>
      </c>
    </row>
    <row r="25" spans="1:14" ht="15">
      <c r="A25" s="169" t="s">
        <v>96</v>
      </c>
      <c r="B25" s="175">
        <v>40000</v>
      </c>
      <c r="C25" s="175">
        <v>40000</v>
      </c>
      <c r="D25" s="175">
        <v>40000</v>
      </c>
      <c r="E25" s="175">
        <v>40000</v>
      </c>
      <c r="F25" s="175">
        <v>40000</v>
      </c>
      <c r="G25" s="175">
        <v>40000</v>
      </c>
      <c r="H25" s="175">
        <v>40000</v>
      </c>
      <c r="I25" s="175">
        <v>40000</v>
      </c>
      <c r="J25" s="175">
        <v>40000</v>
      </c>
      <c r="K25" s="175">
        <v>40000</v>
      </c>
      <c r="L25" s="175">
        <v>40000</v>
      </c>
      <c r="M25" s="175">
        <v>40000</v>
      </c>
      <c r="N25" s="58">
        <f t="shared" si="3"/>
        <v>480000</v>
      </c>
    </row>
    <row r="26" spans="1:14" ht="15">
      <c r="A26" s="169" t="s">
        <v>45</v>
      </c>
      <c r="B26" s="175">
        <v>6000</v>
      </c>
      <c r="C26" s="175">
        <v>6000</v>
      </c>
      <c r="D26" s="175">
        <v>6000</v>
      </c>
      <c r="E26" s="175">
        <v>6000</v>
      </c>
      <c r="F26" s="175">
        <v>6000</v>
      </c>
      <c r="G26" s="175">
        <v>6000</v>
      </c>
      <c r="H26" s="175">
        <v>6000</v>
      </c>
      <c r="I26" s="175">
        <v>6000</v>
      </c>
      <c r="J26" s="175">
        <v>6000</v>
      </c>
      <c r="K26" s="175">
        <v>6000</v>
      </c>
      <c r="L26" s="175">
        <v>6000</v>
      </c>
      <c r="M26" s="175">
        <v>6000</v>
      </c>
      <c r="N26" s="58">
        <f t="shared" si="3"/>
        <v>72000</v>
      </c>
    </row>
    <row r="27" spans="1:14" ht="15">
      <c r="A27" s="169" t="s">
        <v>46</v>
      </c>
      <c r="B27" s="175">
        <f>(B4*300*30*0.007469)*2+1000</f>
        <v>1672.21</v>
      </c>
      <c r="C27" s="175">
        <f aca="true" t="shared" si="4" ref="C27:M27">(C4*300*30*0.007469)*2+1000</f>
        <v>1806.652</v>
      </c>
      <c r="D27" s="175">
        <f t="shared" si="4"/>
        <v>1806.652</v>
      </c>
      <c r="E27" s="175">
        <f t="shared" si="4"/>
        <v>1806.652</v>
      </c>
      <c r="F27" s="175">
        <f t="shared" si="4"/>
        <v>1806.652</v>
      </c>
      <c r="G27" s="175">
        <f t="shared" si="4"/>
        <v>1941.094</v>
      </c>
      <c r="H27" s="175">
        <f t="shared" si="4"/>
        <v>1941.094</v>
      </c>
      <c r="I27" s="175">
        <f t="shared" si="4"/>
        <v>1941.094</v>
      </c>
      <c r="J27" s="175">
        <f t="shared" si="4"/>
        <v>2075.536</v>
      </c>
      <c r="K27" s="175">
        <f t="shared" si="4"/>
        <v>2075.536</v>
      </c>
      <c r="L27" s="175">
        <f t="shared" si="4"/>
        <v>2075.536</v>
      </c>
      <c r="M27" s="175">
        <f t="shared" si="4"/>
        <v>2209.978</v>
      </c>
      <c r="N27" s="58">
        <f t="shared" si="3"/>
        <v>23158.686</v>
      </c>
    </row>
    <row r="28" spans="1:14" ht="15">
      <c r="A28" s="169" t="s">
        <v>48</v>
      </c>
      <c r="B28" s="175">
        <v>10000</v>
      </c>
      <c r="C28" s="175">
        <v>10000</v>
      </c>
      <c r="D28" s="175">
        <v>10000</v>
      </c>
      <c r="E28" s="175">
        <v>10000</v>
      </c>
      <c r="F28" s="175">
        <v>10000</v>
      </c>
      <c r="G28" s="175">
        <v>10000</v>
      </c>
      <c r="H28" s="175">
        <v>10000</v>
      </c>
      <c r="I28" s="175">
        <v>10000</v>
      </c>
      <c r="J28" s="175">
        <v>10000</v>
      </c>
      <c r="K28" s="175">
        <v>10000</v>
      </c>
      <c r="L28" s="175">
        <v>10000</v>
      </c>
      <c r="M28" s="175">
        <v>10000</v>
      </c>
      <c r="N28" s="58">
        <f t="shared" si="3"/>
        <v>120000</v>
      </c>
    </row>
    <row r="29" spans="1:14" ht="15">
      <c r="A29" s="169" t="s">
        <v>50</v>
      </c>
      <c r="B29" s="175">
        <v>1500</v>
      </c>
      <c r="C29" s="175">
        <v>1500</v>
      </c>
      <c r="D29" s="175">
        <v>1500</v>
      </c>
      <c r="E29" s="175">
        <v>1500</v>
      </c>
      <c r="F29" s="175">
        <v>1500</v>
      </c>
      <c r="G29" s="175">
        <v>1500</v>
      </c>
      <c r="H29" s="175">
        <v>1500</v>
      </c>
      <c r="I29" s="175">
        <v>1500</v>
      </c>
      <c r="J29" s="175">
        <v>1500</v>
      </c>
      <c r="K29" s="175">
        <v>1500</v>
      </c>
      <c r="L29" s="175">
        <v>1500</v>
      </c>
      <c r="M29" s="175">
        <v>1500</v>
      </c>
      <c r="N29" s="58">
        <f t="shared" si="3"/>
        <v>18000</v>
      </c>
    </row>
    <row r="30" spans="1:14" ht="15">
      <c r="A30" s="169" t="s">
        <v>204</v>
      </c>
      <c r="B30" s="175">
        <v>1667</v>
      </c>
      <c r="C30" s="175">
        <v>1667</v>
      </c>
      <c r="D30" s="175">
        <v>1667</v>
      </c>
      <c r="E30" s="175">
        <v>1667</v>
      </c>
      <c r="F30" s="175">
        <v>1667</v>
      </c>
      <c r="G30" s="175">
        <v>1667</v>
      </c>
      <c r="H30" s="175">
        <v>1667</v>
      </c>
      <c r="I30" s="175">
        <v>1667</v>
      </c>
      <c r="J30" s="175">
        <v>1667</v>
      </c>
      <c r="K30" s="175">
        <v>1667</v>
      </c>
      <c r="L30" s="175">
        <v>1667</v>
      </c>
      <c r="M30" s="175">
        <v>1667</v>
      </c>
      <c r="N30" s="58">
        <f t="shared" si="3"/>
        <v>20004</v>
      </c>
    </row>
    <row r="31" spans="1:14" ht="15">
      <c r="A31" s="169" t="s">
        <v>214</v>
      </c>
      <c r="B31" s="175">
        <v>17382.89</v>
      </c>
      <c r="C31" s="175">
        <v>17382.89</v>
      </c>
      <c r="D31" s="175">
        <v>17382.89</v>
      </c>
      <c r="E31" s="175">
        <v>17382.89</v>
      </c>
      <c r="F31" s="175">
        <v>17382.89</v>
      </c>
      <c r="G31" s="175">
        <v>17382.89</v>
      </c>
      <c r="H31" s="175">
        <v>17382.89</v>
      </c>
      <c r="I31" s="175">
        <v>17382.89</v>
      </c>
      <c r="J31" s="175">
        <v>17382.89</v>
      </c>
      <c r="K31" s="175">
        <v>17382.89</v>
      </c>
      <c r="L31" s="175">
        <v>17382.89</v>
      </c>
      <c r="M31" s="175">
        <v>17382.89</v>
      </c>
      <c r="N31" s="58">
        <f t="shared" si="3"/>
        <v>208594.68000000005</v>
      </c>
    </row>
    <row r="32" spans="1:14" ht="15">
      <c r="A32" s="170" t="s">
        <v>59</v>
      </c>
      <c r="B32" s="175">
        <f>3400+(1*(B5-10882.89)/2)+5441.445</f>
        <v>9113.517329331615</v>
      </c>
      <c r="C32" s="175">
        <f aca="true" t="shared" si="5" ref="C32:M32">3400+(1*(C5-10882.89)/2)+5441.445</f>
        <v>9399.193195798194</v>
      </c>
      <c r="D32" s="175">
        <f t="shared" si="5"/>
        <v>9699.152855588105</v>
      </c>
      <c r="E32" s="175">
        <f t="shared" si="5"/>
        <v>10014.11049836751</v>
      </c>
      <c r="F32" s="175">
        <f t="shared" si="5"/>
        <v>10344.816023285886</v>
      </c>
      <c r="G32" s="175">
        <f t="shared" si="5"/>
        <v>10692.056824450181</v>
      </c>
      <c r="H32" s="175">
        <f t="shared" si="5"/>
        <v>11056.65966567269</v>
      </c>
      <c r="I32" s="175">
        <f t="shared" si="5"/>
        <v>11439.492648956326</v>
      </c>
      <c r="J32" s="175">
        <f t="shared" si="5"/>
        <v>11841.467281404142</v>
      </c>
      <c r="K32" s="175">
        <f t="shared" si="5"/>
        <v>12263.54064547435</v>
      </c>
      <c r="L32" s="175">
        <f t="shared" si="5"/>
        <v>12706.717677748067</v>
      </c>
      <c r="M32" s="175">
        <f t="shared" si="5"/>
        <v>13172.053561635472</v>
      </c>
      <c r="N32" s="35">
        <f>SUM(B32:M32)</f>
        <v>131742.77820771252</v>
      </c>
    </row>
    <row r="33" spans="1:14" ht="15.75" thickBot="1">
      <c r="A33" s="170" t="s">
        <v>58</v>
      </c>
      <c r="B33" s="175">
        <f>3400+(1*(B5-10882.89)/2)</f>
        <v>3672.072329331614</v>
      </c>
      <c r="C33" s="175">
        <f aca="true" t="shared" si="6" ref="C33:M33">3400+(1*(C5-10882.89)/2)</f>
        <v>3957.7481957981954</v>
      </c>
      <c r="D33" s="175">
        <f t="shared" si="6"/>
        <v>4257.707855588105</v>
      </c>
      <c r="E33" s="175">
        <f t="shared" si="6"/>
        <v>4572.665498367511</v>
      </c>
      <c r="F33" s="175">
        <f t="shared" si="6"/>
        <v>4903.371023285887</v>
      </c>
      <c r="G33" s="175">
        <f t="shared" si="6"/>
        <v>5250.611824450181</v>
      </c>
      <c r="H33" s="175">
        <f t="shared" si="6"/>
        <v>5615.214665672691</v>
      </c>
      <c r="I33" s="175">
        <f t="shared" si="6"/>
        <v>5998.047648956326</v>
      </c>
      <c r="J33" s="175">
        <f t="shared" si="6"/>
        <v>6400.022281404143</v>
      </c>
      <c r="K33" s="175">
        <f t="shared" si="6"/>
        <v>6822.09564547435</v>
      </c>
      <c r="L33" s="175">
        <f t="shared" si="6"/>
        <v>7265.2726777480675</v>
      </c>
      <c r="M33" s="175">
        <f t="shared" si="6"/>
        <v>7730.608561635472</v>
      </c>
      <c r="N33" s="35">
        <f>SUM(B33:M33)</f>
        <v>66445.43820771253</v>
      </c>
    </row>
    <row r="34" spans="1:14" ht="15.75" thickBot="1">
      <c r="A34" s="171" t="s">
        <v>94</v>
      </c>
      <c r="B34" s="22">
        <f aca="true" t="shared" si="7" ref="B34:M34">B7-SUM(B9:B33)</f>
        <v>427014.3898611306</v>
      </c>
      <c r="C34" s="22">
        <f t="shared" si="7"/>
        <v>260589.7001041877</v>
      </c>
      <c r="D34" s="22">
        <f t="shared" si="7"/>
        <v>491459.93995939684</v>
      </c>
      <c r="E34" s="22">
        <f t="shared" si="7"/>
        <v>519574.941807366</v>
      </c>
      <c r="F34" s="22">
        <f t="shared" si="7"/>
        <v>354073.1937477351</v>
      </c>
      <c r="G34" s="22">
        <f t="shared" si="7"/>
        <v>590388.1662851209</v>
      </c>
      <c r="H34" s="22">
        <f t="shared" si="7"/>
        <v>628886.3015493774</v>
      </c>
      <c r="I34" s="22">
        <f t="shared" si="7"/>
        <v>469535.5935768462</v>
      </c>
      <c r="J34" s="22">
        <f t="shared" si="7"/>
        <v>707784.1582056889</v>
      </c>
      <c r="K34" s="22">
        <f t="shared" si="7"/>
        <v>753063.8151659728</v>
      </c>
      <c r="L34" s="22">
        <f t="shared" si="7"/>
        <v>796308.7049742718</v>
      </c>
      <c r="M34" s="22">
        <f t="shared" si="7"/>
        <v>646558.8972729854</v>
      </c>
      <c r="N34" s="23">
        <f>SUM(B34:M34)</f>
        <v>6645237.802510079</v>
      </c>
    </row>
    <row r="37" spans="1:14" ht="15">
      <c r="A37" s="247" t="s">
        <v>291</v>
      </c>
      <c r="B37" s="247"/>
      <c r="C37" s="247"/>
      <c r="D37" s="247"/>
      <c r="E37" s="247"/>
      <c r="F37" s="247"/>
      <c r="G37" s="247"/>
      <c r="H37" s="247"/>
      <c r="I37" s="247"/>
      <c r="J37" s="247"/>
      <c r="K37" s="247"/>
      <c r="L37" s="247"/>
      <c r="M37" s="247"/>
      <c r="N37" s="247"/>
    </row>
    <row r="38" spans="1:14" ht="15">
      <c r="A38" s="247"/>
      <c r="B38" s="247"/>
      <c r="C38" s="247"/>
      <c r="D38" s="247"/>
      <c r="E38" s="247"/>
      <c r="F38" s="247"/>
      <c r="G38" s="247"/>
      <c r="H38" s="247"/>
      <c r="I38" s="247"/>
      <c r="J38" s="247"/>
      <c r="K38" s="247"/>
      <c r="L38" s="247"/>
      <c r="M38" s="247"/>
      <c r="N38" s="247"/>
    </row>
    <row r="39" spans="1:14" ht="15">
      <c r="A39" s="247"/>
      <c r="B39" s="247"/>
      <c r="C39" s="247"/>
      <c r="D39" s="247"/>
      <c r="E39" s="247"/>
      <c r="F39" s="247"/>
      <c r="G39" s="247"/>
      <c r="H39" s="247"/>
      <c r="I39" s="247"/>
      <c r="J39" s="247"/>
      <c r="K39" s="247"/>
      <c r="L39" s="247"/>
      <c r="M39" s="247"/>
      <c r="N39" s="247"/>
    </row>
    <row r="40" spans="1:14" ht="15">
      <c r="A40" s="247"/>
      <c r="B40" s="247"/>
      <c r="C40" s="247"/>
      <c r="D40" s="247"/>
      <c r="E40" s="247"/>
      <c r="F40" s="247"/>
      <c r="G40" s="247"/>
      <c r="H40" s="247"/>
      <c r="I40" s="247"/>
      <c r="J40" s="247"/>
      <c r="K40" s="247"/>
      <c r="L40" s="247"/>
      <c r="M40" s="247"/>
      <c r="N40" s="247"/>
    </row>
    <row r="41" spans="1:14" ht="15">
      <c r="A41" s="247"/>
      <c r="B41" s="247"/>
      <c r="C41" s="247"/>
      <c r="D41" s="247"/>
      <c r="E41" s="247"/>
      <c r="F41" s="247"/>
      <c r="G41" s="247"/>
      <c r="H41" s="247"/>
      <c r="I41" s="247"/>
      <c r="J41" s="247"/>
      <c r="K41" s="247"/>
      <c r="L41" s="247"/>
      <c r="M41" s="247"/>
      <c r="N41" s="247"/>
    </row>
    <row r="42" spans="1:14" ht="15">
      <c r="A42" s="247"/>
      <c r="B42" s="247"/>
      <c r="C42" s="247"/>
      <c r="D42" s="247"/>
      <c r="E42" s="247"/>
      <c r="F42" s="247"/>
      <c r="G42" s="247"/>
      <c r="H42" s="247"/>
      <c r="I42" s="247"/>
      <c r="J42" s="247"/>
      <c r="K42" s="247"/>
      <c r="L42" s="247"/>
      <c r="M42" s="247"/>
      <c r="N42" s="247"/>
    </row>
    <row r="44" spans="2:7" ht="15">
      <c r="B44" s="248" t="s">
        <v>288</v>
      </c>
      <c r="C44" s="248"/>
      <c r="D44" s="248"/>
      <c r="E44" s="248"/>
      <c r="F44" s="248"/>
      <c r="G44" s="248"/>
    </row>
  </sheetData>
  <sheetProtection password="DC55" sheet="1" objects="1" scenarios="1" formatCells="0" formatColumns="0" formatRows="0" insertColumns="0" insertRows="0" insertHyperlinks="0" deleteColumns="0" deleteRows="0" selectLockedCells="1" sort="0"/>
  <mergeCells count="2">
    <mergeCell ref="A37:N42"/>
    <mergeCell ref="B44:G44"/>
  </mergeCells>
  <printOptions horizontalCentered="1"/>
  <pageMargins left="0.7" right="0.7" top="0.75" bottom="0.75" header="0.3" footer="0.3"/>
  <pageSetup fitToHeight="1" fitToWidth="1" horizontalDpi="600" verticalDpi="600" orientation="landscape" scale="57" r:id="rId1"/>
  <headerFooter>
    <oddHeader>&amp;C&amp;"-,Bold"&amp;36&amp;UProject Victories Project Selection Tool</oddHeader>
    <oddFooter>&amp;CCopyright The Volpe Consortium,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 Volpe III, PMP</dc:creator>
  <cp:keywords/>
  <dc:description/>
  <cp:lastModifiedBy>William H. Volpe III</cp:lastModifiedBy>
  <cp:lastPrinted>2010-07-13T18:47:47Z</cp:lastPrinted>
  <dcterms:created xsi:type="dcterms:W3CDTF">2009-04-01T22:55:11Z</dcterms:created>
  <dcterms:modified xsi:type="dcterms:W3CDTF">2018-02-19T23:54:28Z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